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Лист1!$A$3:$AD$72</definedName>
  </definedNames>
  <calcPr calcId="124519"/>
</workbook>
</file>

<file path=xl/calcChain.xml><?xml version="1.0" encoding="utf-8"?>
<calcChain xmlns="http://schemas.openxmlformats.org/spreadsheetml/2006/main">
  <c r="U71" i="1"/>
  <c r="T71"/>
  <c r="S71"/>
  <c r="Q71"/>
  <c r="P71"/>
  <c r="AB70"/>
  <c r="AA70"/>
  <c r="K70"/>
  <c r="J70"/>
  <c r="H70"/>
  <c r="G70"/>
  <c r="I70" s="1"/>
  <c r="L70" s="1"/>
  <c r="C70"/>
  <c r="D70" s="1"/>
  <c r="AB69"/>
  <c r="AA69"/>
  <c r="O69"/>
  <c r="G69"/>
  <c r="C69"/>
  <c r="AB68"/>
  <c r="AA68"/>
  <c r="O68"/>
  <c r="M68"/>
  <c r="K68"/>
  <c r="G68"/>
  <c r="J68" s="1"/>
  <c r="F68"/>
  <c r="E68"/>
  <c r="C68"/>
  <c r="D68" s="1"/>
  <c r="AB67"/>
  <c r="AA67"/>
  <c r="G67"/>
  <c r="J67" s="1"/>
  <c r="C67"/>
  <c r="D67" s="1"/>
  <c r="AA66"/>
  <c r="M66"/>
  <c r="AB66" s="1"/>
  <c r="G66"/>
  <c r="C66"/>
  <c r="AB65"/>
  <c r="AA65"/>
  <c r="M65"/>
  <c r="G65"/>
  <c r="E65"/>
  <c r="D65"/>
  <c r="C65"/>
  <c r="F65" s="1"/>
  <c r="O64"/>
  <c r="M64"/>
  <c r="AB64" s="1"/>
  <c r="K64"/>
  <c r="I64"/>
  <c r="G64"/>
  <c r="H64" s="1"/>
  <c r="C64"/>
  <c r="AB63"/>
  <c r="AA63"/>
  <c r="O63"/>
  <c r="M63"/>
  <c r="G63"/>
  <c r="F63"/>
  <c r="E63"/>
  <c r="D63"/>
  <c r="C63"/>
  <c r="AB62"/>
  <c r="AA62"/>
  <c r="O62"/>
  <c r="I62"/>
  <c r="G62"/>
  <c r="J62" s="1"/>
  <c r="F62"/>
  <c r="E62"/>
  <c r="C62"/>
  <c r="D62" s="1"/>
  <c r="AB61"/>
  <c r="AA61"/>
  <c r="M61"/>
  <c r="G61"/>
  <c r="F61"/>
  <c r="C61"/>
  <c r="E61" s="1"/>
  <c r="AB60"/>
  <c r="H60"/>
  <c r="G60"/>
  <c r="J60" s="1"/>
  <c r="F60"/>
  <c r="C60"/>
  <c r="D60" s="1"/>
  <c r="AA59"/>
  <c r="M59"/>
  <c r="AB59" s="1"/>
  <c r="G59"/>
  <c r="C59"/>
  <c r="E59" s="1"/>
  <c r="M58"/>
  <c r="AB58" s="1"/>
  <c r="G58"/>
  <c r="C58"/>
  <c r="E58" s="1"/>
  <c r="AA57"/>
  <c r="R57"/>
  <c r="M57"/>
  <c r="AB57" s="1"/>
  <c r="G57"/>
  <c r="F57"/>
  <c r="C57"/>
  <c r="D57" s="1"/>
  <c r="AA56"/>
  <c r="R56"/>
  <c r="M56"/>
  <c r="AB56" s="1"/>
  <c r="J56"/>
  <c r="G56"/>
  <c r="K56" s="1"/>
  <c r="F56"/>
  <c r="E56"/>
  <c r="D56"/>
  <c r="C56"/>
  <c r="O55"/>
  <c r="M55"/>
  <c r="AB55" s="1"/>
  <c r="G55"/>
  <c r="J55" s="1"/>
  <c r="F55"/>
  <c r="C55"/>
  <c r="D55" s="1"/>
  <c r="AB54"/>
  <c r="G54"/>
  <c r="I54" s="1"/>
  <c r="F54"/>
  <c r="E54"/>
  <c r="D54"/>
  <c r="C54"/>
  <c r="AB53"/>
  <c r="O53"/>
  <c r="M53"/>
  <c r="G53"/>
  <c r="E53"/>
  <c r="C53"/>
  <c r="D53" s="1"/>
  <c r="AA52"/>
  <c r="O52"/>
  <c r="N52"/>
  <c r="M52"/>
  <c r="AB52" s="1"/>
  <c r="K52"/>
  <c r="J52"/>
  <c r="I52"/>
  <c r="H52"/>
  <c r="G52"/>
  <c r="C52"/>
  <c r="F52" s="1"/>
  <c r="AA51"/>
  <c r="O51"/>
  <c r="M51"/>
  <c r="AB51" s="1"/>
  <c r="G51"/>
  <c r="F51"/>
  <c r="E51"/>
  <c r="D51"/>
  <c r="C51"/>
  <c r="AA50"/>
  <c r="O50"/>
  <c r="M50"/>
  <c r="AB50" s="1"/>
  <c r="G50"/>
  <c r="D50"/>
  <c r="C50"/>
  <c r="E50" s="1"/>
  <c r="AB49"/>
  <c r="H49"/>
  <c r="L49" s="1"/>
  <c r="O48"/>
  <c r="M48"/>
  <c r="AB48" s="1"/>
  <c r="G48"/>
  <c r="I48" s="1"/>
  <c r="F48"/>
  <c r="E48"/>
  <c r="D48"/>
  <c r="C48"/>
  <c r="AB47"/>
  <c r="O47"/>
  <c r="M47"/>
  <c r="K47"/>
  <c r="H47"/>
  <c r="G47"/>
  <c r="J47" s="1"/>
  <c r="F47"/>
  <c r="E47"/>
  <c r="C47"/>
  <c r="D47" s="1"/>
  <c r="M46"/>
  <c r="AB46" s="1"/>
  <c r="I46"/>
  <c r="G46"/>
  <c r="J46" s="1"/>
  <c r="F46"/>
  <c r="E46"/>
  <c r="C46"/>
  <c r="D46" s="1"/>
  <c r="AA45"/>
  <c r="M45"/>
  <c r="AB45" s="1"/>
  <c r="G45"/>
  <c r="K45" s="1"/>
  <c r="F45"/>
  <c r="C45"/>
  <c r="E45" s="1"/>
  <c r="AA44"/>
  <c r="M44"/>
  <c r="AB44" s="1"/>
  <c r="K44"/>
  <c r="J44"/>
  <c r="I44"/>
  <c r="H44"/>
  <c r="G44"/>
  <c r="E44"/>
  <c r="D44"/>
  <c r="C44"/>
  <c r="F44" s="1"/>
  <c r="AB43"/>
  <c r="G43"/>
  <c r="K43" s="1"/>
  <c r="F43"/>
  <c r="D43"/>
  <c r="C43"/>
  <c r="E43" s="1"/>
  <c r="M42"/>
  <c r="AB42" s="1"/>
  <c r="J42"/>
  <c r="H42"/>
  <c r="G42"/>
  <c r="K42" s="1"/>
  <c r="F42"/>
  <c r="D42"/>
  <c r="C42"/>
  <c r="E42" s="1"/>
  <c r="AA41"/>
  <c r="M41"/>
  <c r="AB41" s="1"/>
  <c r="G41"/>
  <c r="K41" s="1"/>
  <c r="C41"/>
  <c r="O40"/>
  <c r="M40"/>
  <c r="AB40" s="1"/>
  <c r="I40"/>
  <c r="G40"/>
  <c r="H40" s="1"/>
  <c r="C40"/>
  <c r="O39"/>
  <c r="M39"/>
  <c r="AB39" s="1"/>
  <c r="J39"/>
  <c r="G39"/>
  <c r="H39" s="1"/>
  <c r="C39"/>
  <c r="F39" s="1"/>
  <c r="M38"/>
  <c r="AB38" s="1"/>
  <c r="K38"/>
  <c r="I38"/>
  <c r="G38"/>
  <c r="H38" s="1"/>
  <c r="F38"/>
  <c r="E38"/>
  <c r="C38"/>
  <c r="D38" s="1"/>
  <c r="M37"/>
  <c r="AB37" s="1"/>
  <c r="J37"/>
  <c r="H37"/>
  <c r="G37"/>
  <c r="I37" s="1"/>
  <c r="F37"/>
  <c r="E37"/>
  <c r="C37"/>
  <c r="D37" s="1"/>
  <c r="O36"/>
  <c r="M36"/>
  <c r="AB36" s="1"/>
  <c r="G36"/>
  <c r="F36"/>
  <c r="D36"/>
  <c r="C36"/>
  <c r="E36" s="1"/>
  <c r="M35"/>
  <c r="AB35" s="1"/>
  <c r="G35"/>
  <c r="F35"/>
  <c r="E35"/>
  <c r="D35"/>
  <c r="AB34"/>
  <c r="M34"/>
  <c r="K34"/>
  <c r="J34"/>
  <c r="H34"/>
  <c r="G34"/>
  <c r="I34" s="1"/>
  <c r="L34" s="1"/>
  <c r="F34"/>
  <c r="E34"/>
  <c r="C34"/>
  <c r="D34" s="1"/>
  <c r="R33"/>
  <c r="O33"/>
  <c r="M33"/>
  <c r="AB33" s="1"/>
  <c r="G33"/>
  <c r="F33"/>
  <c r="E33"/>
  <c r="D33"/>
  <c r="C33"/>
  <c r="O32"/>
  <c r="M32"/>
  <c r="AB32" s="1"/>
  <c r="K32"/>
  <c r="H32"/>
  <c r="G32"/>
  <c r="J32" s="1"/>
  <c r="C32"/>
  <c r="O31"/>
  <c r="M31"/>
  <c r="AB31" s="1"/>
  <c r="I31"/>
  <c r="G31"/>
  <c r="J31" s="1"/>
  <c r="C31"/>
  <c r="O30"/>
  <c r="M30"/>
  <c r="AB30" s="1"/>
  <c r="J30"/>
  <c r="G30"/>
  <c r="I30" s="1"/>
  <c r="E30"/>
  <c r="D30"/>
  <c r="C30"/>
  <c r="F30" s="1"/>
  <c r="R29"/>
  <c r="O29"/>
  <c r="M29"/>
  <c r="AB29" s="1"/>
  <c r="J29"/>
  <c r="G29"/>
  <c r="F29"/>
  <c r="D29"/>
  <c r="C29"/>
  <c r="E29" s="1"/>
  <c r="AB28"/>
  <c r="O28"/>
  <c r="M28"/>
  <c r="G28"/>
  <c r="K28" s="1"/>
  <c r="F28"/>
  <c r="E28"/>
  <c r="D28"/>
  <c r="C28"/>
  <c r="O27"/>
  <c r="M27"/>
  <c r="AB27" s="1"/>
  <c r="K27"/>
  <c r="H27"/>
  <c r="G27"/>
  <c r="J27" s="1"/>
  <c r="C27"/>
  <c r="D27" s="1"/>
  <c r="O26"/>
  <c r="M26"/>
  <c r="AB26" s="1"/>
  <c r="G26"/>
  <c r="J26" s="1"/>
  <c r="F26"/>
  <c r="D26"/>
  <c r="C26"/>
  <c r="E26" s="1"/>
  <c r="M25"/>
  <c r="AB25" s="1"/>
  <c r="G25"/>
  <c r="J25" s="1"/>
  <c r="F25"/>
  <c r="D25"/>
  <c r="C25"/>
  <c r="E25" s="1"/>
  <c r="AB24"/>
  <c r="O24"/>
  <c r="M24"/>
  <c r="G24"/>
  <c r="E24"/>
  <c r="D24"/>
  <c r="C24"/>
  <c r="F24" s="1"/>
  <c r="O23"/>
  <c r="M23"/>
  <c r="AB23" s="1"/>
  <c r="K23"/>
  <c r="J23"/>
  <c r="H23"/>
  <c r="G23"/>
  <c r="I23" s="1"/>
  <c r="F23"/>
  <c r="E23"/>
  <c r="C23"/>
  <c r="D23" s="1"/>
  <c r="R22"/>
  <c r="O22"/>
  <c r="N22"/>
  <c r="M22"/>
  <c r="AB22" s="1"/>
  <c r="K22"/>
  <c r="H22"/>
  <c r="G22"/>
  <c r="J22" s="1"/>
  <c r="C22"/>
  <c r="D22" s="1"/>
  <c r="AB21"/>
  <c r="M21"/>
  <c r="I21"/>
  <c r="G21"/>
  <c r="J21" s="1"/>
  <c r="F21"/>
  <c r="E21"/>
  <c r="C21"/>
  <c r="D21" s="1"/>
  <c r="AB20"/>
  <c r="N20"/>
  <c r="K20"/>
  <c r="I20"/>
  <c r="H20"/>
  <c r="G20"/>
  <c r="J20" s="1"/>
  <c r="F20"/>
  <c r="E20"/>
  <c r="D20"/>
  <c r="AB19"/>
  <c r="R19"/>
  <c r="G19"/>
  <c r="K19" s="1"/>
  <c r="F19"/>
  <c r="E19"/>
  <c r="D19"/>
  <c r="C19"/>
  <c r="AB18"/>
  <c r="O18"/>
  <c r="N18"/>
  <c r="K18"/>
  <c r="I18"/>
  <c r="H18"/>
  <c r="G18"/>
  <c r="J18" s="1"/>
  <c r="F18"/>
  <c r="E18"/>
  <c r="D18"/>
  <c r="M17"/>
  <c r="AB17" s="1"/>
  <c r="K17"/>
  <c r="G17"/>
  <c r="F17"/>
  <c r="E17"/>
  <c r="D17"/>
  <c r="R16"/>
  <c r="O16"/>
  <c r="M16"/>
  <c r="AB16" s="1"/>
  <c r="G16"/>
  <c r="J16" s="1"/>
  <c r="C16"/>
  <c r="D16" s="1"/>
  <c r="O15"/>
  <c r="N15"/>
  <c r="N71" s="1"/>
  <c r="M15"/>
  <c r="AB15" s="1"/>
  <c r="G15"/>
  <c r="I15" s="1"/>
  <c r="E15"/>
  <c r="D15"/>
  <c r="C15"/>
  <c r="F15" s="1"/>
  <c r="M14"/>
  <c r="AB14" s="1"/>
  <c r="J14"/>
  <c r="G14"/>
  <c r="I14" s="1"/>
  <c r="E14"/>
  <c r="C14"/>
  <c r="F14" s="1"/>
  <c r="O13"/>
  <c r="M13"/>
  <c r="AB13" s="1"/>
  <c r="G13"/>
  <c r="K13" s="1"/>
  <c r="C13"/>
  <c r="F13" s="1"/>
  <c r="O12"/>
  <c r="M12"/>
  <c r="AB12" s="1"/>
  <c r="G12"/>
  <c r="H12" s="1"/>
  <c r="F12"/>
  <c r="D12"/>
  <c r="C12"/>
  <c r="E12" s="1"/>
  <c r="AB11"/>
  <c r="R11"/>
  <c r="M11"/>
  <c r="H11"/>
  <c r="G11"/>
  <c r="I11" s="1"/>
  <c r="F11"/>
  <c r="E11"/>
  <c r="D11"/>
  <c r="C11"/>
  <c r="AB10"/>
  <c r="O10"/>
  <c r="K10"/>
  <c r="J10"/>
  <c r="I10"/>
  <c r="H10"/>
  <c r="F10"/>
  <c r="E10"/>
  <c r="D10"/>
  <c r="AB9"/>
  <c r="AA9"/>
  <c r="R9"/>
  <c r="R71" s="1"/>
  <c r="O9"/>
  <c r="G9"/>
  <c r="I9" s="1"/>
  <c r="F9"/>
  <c r="E9"/>
  <c r="D9"/>
  <c r="C9"/>
  <c r="O8"/>
  <c r="M8"/>
  <c r="G8"/>
  <c r="F8"/>
  <c r="E8"/>
  <c r="C8"/>
  <c r="L10" l="1"/>
  <c r="Y10" s="1"/>
  <c r="L52"/>
  <c r="K11"/>
  <c r="H13"/>
  <c r="K14"/>
  <c r="K21"/>
  <c r="I22"/>
  <c r="L22" s="1"/>
  <c r="K30"/>
  <c r="I32"/>
  <c r="L32" s="1"/>
  <c r="K37"/>
  <c r="L37" s="1"/>
  <c r="J40"/>
  <c r="L40" s="1"/>
  <c r="H41"/>
  <c r="H43"/>
  <c r="I47"/>
  <c r="L47" s="1"/>
  <c r="V47" s="1"/>
  <c r="H57"/>
  <c r="K62"/>
  <c r="J64"/>
  <c r="L64" s="1"/>
  <c r="H67"/>
  <c r="I13"/>
  <c r="L20"/>
  <c r="Y20" s="1"/>
  <c r="K40"/>
  <c r="J41"/>
  <c r="I43"/>
  <c r="I57"/>
  <c r="I67"/>
  <c r="L67" s="1"/>
  <c r="Y67" s="1"/>
  <c r="L18"/>
  <c r="L23"/>
  <c r="V23" s="1"/>
  <c r="J57"/>
  <c r="K67"/>
  <c r="J13"/>
  <c r="H54"/>
  <c r="K57"/>
  <c r="I60"/>
  <c r="H68"/>
  <c r="H14"/>
  <c r="M71"/>
  <c r="H21"/>
  <c r="L21" s="1"/>
  <c r="I27"/>
  <c r="L27" s="1"/>
  <c r="H30"/>
  <c r="J38"/>
  <c r="L38" s="1"/>
  <c r="I39"/>
  <c r="I42"/>
  <c r="L42" s="1"/>
  <c r="H46"/>
  <c r="J54"/>
  <c r="H56"/>
  <c r="K60"/>
  <c r="H62"/>
  <c r="I68"/>
  <c r="L68" s="1"/>
  <c r="Z68" s="1"/>
  <c r="Z10"/>
  <c r="V18"/>
  <c r="Z18"/>
  <c r="Y18"/>
  <c r="Z23"/>
  <c r="I24"/>
  <c r="Y34"/>
  <c r="V34"/>
  <c r="K50"/>
  <c r="J50"/>
  <c r="I50"/>
  <c r="H50"/>
  <c r="Y68"/>
  <c r="G71"/>
  <c r="J8"/>
  <c r="O71"/>
  <c r="H9"/>
  <c r="I12"/>
  <c r="H16"/>
  <c r="E22"/>
  <c r="H24"/>
  <c r="H25"/>
  <c r="K25"/>
  <c r="H26"/>
  <c r="K26"/>
  <c r="E27"/>
  <c r="H28"/>
  <c r="F32"/>
  <c r="E32"/>
  <c r="D32"/>
  <c r="K35"/>
  <c r="J35"/>
  <c r="I35"/>
  <c r="H35"/>
  <c r="D64"/>
  <c r="F64"/>
  <c r="E64"/>
  <c r="E69"/>
  <c r="F69"/>
  <c r="D69"/>
  <c r="H8"/>
  <c r="J9"/>
  <c r="J12"/>
  <c r="L12" s="1"/>
  <c r="D13"/>
  <c r="D14"/>
  <c r="H15"/>
  <c r="I16"/>
  <c r="F22"/>
  <c r="J24"/>
  <c r="I25"/>
  <c r="I26"/>
  <c r="F27"/>
  <c r="Z34"/>
  <c r="F40"/>
  <c r="E40"/>
  <c r="D40"/>
  <c r="Z47"/>
  <c r="Y47"/>
  <c r="Z49"/>
  <c r="Y49"/>
  <c r="V49"/>
  <c r="E13"/>
  <c r="I19"/>
  <c r="K36"/>
  <c r="J36"/>
  <c r="L36" s="1"/>
  <c r="I36"/>
  <c r="H36"/>
  <c r="J28"/>
  <c r="I28"/>
  <c r="E66"/>
  <c r="F66"/>
  <c r="D66"/>
  <c r="K9"/>
  <c r="K12"/>
  <c r="K16"/>
  <c r="I17"/>
  <c r="K24"/>
  <c r="F31"/>
  <c r="E31"/>
  <c r="K33"/>
  <c r="J33"/>
  <c r="I33"/>
  <c r="I51"/>
  <c r="K51"/>
  <c r="J51"/>
  <c r="H51"/>
  <c r="J53"/>
  <c r="K53"/>
  <c r="I53"/>
  <c r="L53" s="1"/>
  <c r="H53"/>
  <c r="Z67"/>
  <c r="C71"/>
  <c r="D8"/>
  <c r="K8"/>
  <c r="J11"/>
  <c r="L11" s="1"/>
  <c r="J15"/>
  <c r="E16"/>
  <c r="H17"/>
  <c r="H19"/>
  <c r="D31"/>
  <c r="H33"/>
  <c r="H59"/>
  <c r="K59"/>
  <c r="J59"/>
  <c r="I59"/>
  <c r="V68"/>
  <c r="I8"/>
  <c r="AB8"/>
  <c r="K15"/>
  <c r="F16"/>
  <c r="J17"/>
  <c r="J19"/>
  <c r="K29"/>
  <c r="I29"/>
  <c r="H29"/>
  <c r="H31"/>
  <c r="K31"/>
  <c r="F41"/>
  <c r="E41"/>
  <c r="D41"/>
  <c r="Z52"/>
  <c r="Y52"/>
  <c r="V52"/>
  <c r="H58"/>
  <c r="K58"/>
  <c r="J58"/>
  <c r="I58"/>
  <c r="H61"/>
  <c r="K61"/>
  <c r="I63"/>
  <c r="I65"/>
  <c r="L30"/>
  <c r="D39"/>
  <c r="K39"/>
  <c r="L39" s="1"/>
  <c r="J43"/>
  <c r="L43" s="1"/>
  <c r="L44"/>
  <c r="H45"/>
  <c r="K46"/>
  <c r="L46" s="1"/>
  <c r="H48"/>
  <c r="D52"/>
  <c r="K54"/>
  <c r="L54" s="1"/>
  <c r="H55"/>
  <c r="I61"/>
  <c r="H63"/>
  <c r="H65"/>
  <c r="E67"/>
  <c r="E70"/>
  <c r="E39"/>
  <c r="I45"/>
  <c r="J48"/>
  <c r="E52"/>
  <c r="I55"/>
  <c r="J61"/>
  <c r="J63"/>
  <c r="J65"/>
  <c r="H66"/>
  <c r="K66"/>
  <c r="F67"/>
  <c r="K69"/>
  <c r="H69"/>
  <c r="F70"/>
  <c r="Z70"/>
  <c r="Y70"/>
  <c r="V70"/>
  <c r="J45"/>
  <c r="K48"/>
  <c r="K55"/>
  <c r="D58"/>
  <c r="D59"/>
  <c r="K63"/>
  <c r="K65"/>
  <c r="I66"/>
  <c r="I69"/>
  <c r="I41"/>
  <c r="D45"/>
  <c r="F50"/>
  <c r="F53"/>
  <c r="E55"/>
  <c r="L55"/>
  <c r="I56"/>
  <c r="E57"/>
  <c r="F58"/>
  <c r="F59"/>
  <c r="E60"/>
  <c r="D61"/>
  <c r="J66"/>
  <c r="J69"/>
  <c r="Z27" l="1"/>
  <c r="Y27"/>
  <c r="V27"/>
  <c r="AD27" s="1"/>
  <c r="V40"/>
  <c r="W40" s="1"/>
  <c r="Y40"/>
  <c r="V22"/>
  <c r="Y22"/>
  <c r="Z22"/>
  <c r="L69"/>
  <c r="V69" s="1"/>
  <c r="L65"/>
  <c r="L61"/>
  <c r="Z61" s="1"/>
  <c r="L19"/>
  <c r="L24"/>
  <c r="V24" s="1"/>
  <c r="L26"/>
  <c r="L14"/>
  <c r="Y14" s="1"/>
  <c r="L48"/>
  <c r="L58"/>
  <c r="V58" s="1"/>
  <c r="L50"/>
  <c r="Y23"/>
  <c r="V10"/>
  <c r="L57"/>
  <c r="Z57" s="1"/>
  <c r="L62"/>
  <c r="Y64"/>
  <c r="Z64"/>
  <c r="V64"/>
  <c r="Z62"/>
  <c r="Y62"/>
  <c r="V62"/>
  <c r="Z37"/>
  <c r="V37"/>
  <c r="W37" s="1"/>
  <c r="Y37"/>
  <c r="V42"/>
  <c r="Y42"/>
  <c r="Z42"/>
  <c r="Z21"/>
  <c r="V21"/>
  <c r="Y21"/>
  <c r="Y38"/>
  <c r="V38"/>
  <c r="W38" s="1"/>
  <c r="AC38" s="1"/>
  <c r="AD38" s="1"/>
  <c r="Z38"/>
  <c r="Y57"/>
  <c r="V57"/>
  <c r="W57" s="1"/>
  <c r="L45"/>
  <c r="L59"/>
  <c r="Y59" s="1"/>
  <c r="V67"/>
  <c r="L28"/>
  <c r="Z28" s="1"/>
  <c r="L8"/>
  <c r="V8" s="1"/>
  <c r="L13"/>
  <c r="L63"/>
  <c r="Z40"/>
  <c r="L9"/>
  <c r="V9" s="1"/>
  <c r="L25"/>
  <c r="Y25" s="1"/>
  <c r="L35"/>
  <c r="V35" s="1"/>
  <c r="L16"/>
  <c r="Y16" s="1"/>
  <c r="Z20"/>
  <c r="L60"/>
  <c r="L51"/>
  <c r="V51" s="1"/>
  <c r="V20"/>
  <c r="L15"/>
  <c r="V15" s="1"/>
  <c r="L56"/>
  <c r="Z56" s="1"/>
  <c r="L41"/>
  <c r="L31"/>
  <c r="Z31" s="1"/>
  <c r="L33"/>
  <c r="Z33" s="1"/>
  <c r="L17"/>
  <c r="Z17" s="1"/>
  <c r="Z63"/>
  <c r="V63"/>
  <c r="Y63"/>
  <c r="Z9"/>
  <c r="Y9"/>
  <c r="V25"/>
  <c r="Y26"/>
  <c r="Z26"/>
  <c r="V26"/>
  <c r="Y50"/>
  <c r="Z50"/>
  <c r="V50"/>
  <c r="Y15"/>
  <c r="Z15"/>
  <c r="Z51"/>
  <c r="Y51"/>
  <c r="Y41"/>
  <c r="V41"/>
  <c r="Z41"/>
  <c r="Y31"/>
  <c r="Y33"/>
  <c r="V33"/>
  <c r="V17"/>
  <c r="V48"/>
  <c r="Z48"/>
  <c r="Y48"/>
  <c r="Z19"/>
  <c r="Y19"/>
  <c r="V19"/>
  <c r="Y54"/>
  <c r="V54"/>
  <c r="Z54"/>
  <c r="V43"/>
  <c r="Z43"/>
  <c r="Y43"/>
  <c r="Z24"/>
  <c r="Z39"/>
  <c r="Y39"/>
  <c r="V39"/>
  <c r="Z65"/>
  <c r="Y65"/>
  <c r="V65"/>
  <c r="Z45"/>
  <c r="Y45"/>
  <c r="V45"/>
  <c r="Z59"/>
  <c r="Z8"/>
  <c r="Y8"/>
  <c r="W70"/>
  <c r="AC70" s="1"/>
  <c r="AD70" s="1"/>
  <c r="Z58"/>
  <c r="Z12"/>
  <c r="Y12"/>
  <c r="V12"/>
  <c r="W64"/>
  <c r="AC64" s="1"/>
  <c r="AD64" s="1"/>
  <c r="W34"/>
  <c r="AC34" s="1"/>
  <c r="AD34" s="1"/>
  <c r="L29"/>
  <c r="Z32"/>
  <c r="Y32"/>
  <c r="V32"/>
  <c r="W42"/>
  <c r="AC42" s="1"/>
  <c r="AD42" s="1"/>
  <c r="H71"/>
  <c r="V30"/>
  <c r="Z30"/>
  <c r="Y30"/>
  <c r="K71"/>
  <c r="W18"/>
  <c r="AC18" s="1"/>
  <c r="AD18" s="1"/>
  <c r="W52"/>
  <c r="AC52" s="1"/>
  <c r="AD52" s="1"/>
  <c r="Z53"/>
  <c r="Y53"/>
  <c r="V53"/>
  <c r="V11"/>
  <c r="Z11"/>
  <c r="Y11"/>
  <c r="J71"/>
  <c r="W27"/>
  <c r="AC27" s="1"/>
  <c r="W67"/>
  <c r="AC67" s="1"/>
  <c r="AD67" s="1"/>
  <c r="W49"/>
  <c r="AC49" s="1"/>
  <c r="AD49"/>
  <c r="L66"/>
  <c r="I71"/>
  <c r="L71" s="1"/>
  <c r="V71" s="1"/>
  <c r="W62"/>
  <c r="W10"/>
  <c r="AC10" s="1"/>
  <c r="AD10" s="1"/>
  <c r="V61"/>
  <c r="Y61"/>
  <c r="Y36"/>
  <c r="V36"/>
  <c r="Z36"/>
  <c r="Y46"/>
  <c r="V46"/>
  <c r="Z46"/>
  <c r="W21"/>
  <c r="Z69"/>
  <c r="Y69"/>
  <c r="Z44"/>
  <c r="Y44"/>
  <c r="V44"/>
  <c r="W68"/>
  <c r="AC68" s="1"/>
  <c r="AD68" s="1"/>
  <c r="V14"/>
  <c r="Z14"/>
  <c r="D71"/>
  <c r="F71"/>
  <c r="E71"/>
  <c r="W47"/>
  <c r="AC47" s="1"/>
  <c r="AD47" s="1"/>
  <c r="AC40"/>
  <c r="AD40" s="1"/>
  <c r="W22"/>
  <c r="W23"/>
  <c r="AC23" s="1"/>
  <c r="AD23" s="1"/>
  <c r="Z55"/>
  <c r="Y55"/>
  <c r="V55"/>
  <c r="AD20" l="1"/>
  <c r="AC57"/>
  <c r="AD57" s="1"/>
  <c r="AC22"/>
  <c r="AD22" s="1"/>
  <c r="AC21"/>
  <c r="AD21" s="1"/>
  <c r="AC62"/>
  <c r="AD62" s="1"/>
  <c r="W20"/>
  <c r="AC20" s="1"/>
  <c r="Y58"/>
  <c r="Y28"/>
  <c r="V59"/>
  <c r="Y24"/>
  <c r="V31"/>
  <c r="W31" s="1"/>
  <c r="AC31" s="1"/>
  <c r="AD31" s="1"/>
  <c r="Z25"/>
  <c r="AC37"/>
  <c r="AD37" s="1"/>
  <c r="Y56"/>
  <c r="V28"/>
  <c r="AD28" s="1"/>
  <c r="V56"/>
  <c r="W56" s="1"/>
  <c r="AC56" s="1"/>
  <c r="V16"/>
  <c r="Y17"/>
  <c r="Y35"/>
  <c r="Z16"/>
  <c r="Z35"/>
  <c r="Y60"/>
  <c r="Z60"/>
  <c r="V60"/>
  <c r="V13"/>
  <c r="Z13"/>
  <c r="Y13"/>
  <c r="V66"/>
  <c r="Z66"/>
  <c r="Y66"/>
  <c r="W58"/>
  <c r="AC58" s="1"/>
  <c r="AD58" s="1"/>
  <c r="W45"/>
  <c r="AC45" s="1"/>
  <c r="AD45"/>
  <c r="W17"/>
  <c r="AC17" s="1"/>
  <c r="AD17" s="1"/>
  <c r="W35"/>
  <c r="W12"/>
  <c r="AC12" s="1"/>
  <c r="AD12" s="1"/>
  <c r="W28"/>
  <c r="AC28" s="1"/>
  <c r="W55"/>
  <c r="AC55" s="1"/>
  <c r="AD55" s="1"/>
  <c r="W36"/>
  <c r="AC36" s="1"/>
  <c r="AD36" s="1"/>
  <c r="W53"/>
  <c r="AC53" s="1"/>
  <c r="AD53" s="1"/>
  <c r="W30"/>
  <c r="AC30" s="1"/>
  <c r="AD30" s="1"/>
  <c r="W43"/>
  <c r="AC43" s="1"/>
  <c r="AD43"/>
  <c r="W51"/>
  <c r="AC51" s="1"/>
  <c r="AD51" s="1"/>
  <c r="W9"/>
  <c r="AC9" s="1"/>
  <c r="AD9" s="1"/>
  <c r="W61"/>
  <c r="AC61" s="1"/>
  <c r="AD61" s="1"/>
  <c r="W11"/>
  <c r="AC11" s="1"/>
  <c r="AD11" s="1"/>
  <c r="V29"/>
  <c r="Z29"/>
  <c r="Y29"/>
  <c r="W19"/>
  <c r="AC19" s="1"/>
  <c r="AD19" s="1"/>
  <c r="W50"/>
  <c r="AC50" s="1"/>
  <c r="AD50" s="1"/>
  <c r="W16"/>
  <c r="W32"/>
  <c r="AC32" s="1"/>
  <c r="AD32" s="1"/>
  <c r="W8"/>
  <c r="AC8" s="1"/>
  <c r="AD8" s="1"/>
  <c r="W65"/>
  <c r="AC65" s="1"/>
  <c r="AD65" s="1"/>
  <c r="W39"/>
  <c r="AC39" s="1"/>
  <c r="AD39" s="1"/>
  <c r="W15"/>
  <c r="AC15" s="1"/>
  <c r="AD15" s="1"/>
  <c r="W26"/>
  <c r="AC26" s="1"/>
  <c r="AD26" s="1"/>
  <c r="W44"/>
  <c r="AC44" s="1"/>
  <c r="AD44" s="1"/>
  <c r="W69"/>
  <c r="AC69" s="1"/>
  <c r="AD69" s="1"/>
  <c r="W54"/>
  <c r="AC54" s="1"/>
  <c r="AD54" s="1"/>
  <c r="W33"/>
  <c r="AC33" s="1"/>
  <c r="AD33" s="1"/>
  <c r="W41"/>
  <c r="AC41" s="1"/>
  <c r="AD41" s="1"/>
  <c r="W63"/>
  <c r="AC63" s="1"/>
  <c r="AD63" s="1"/>
  <c r="W14"/>
  <c r="AC14" s="1"/>
  <c r="AD14" s="1"/>
  <c r="W46"/>
  <c r="AC46" s="1"/>
  <c r="AD46" s="1"/>
  <c r="W59"/>
  <c r="AC59" s="1"/>
  <c r="AD59" s="1"/>
  <c r="W24"/>
  <c r="AC24" s="1"/>
  <c r="AD24" s="1"/>
  <c r="W48"/>
  <c r="AC48" s="1"/>
  <c r="AD48" s="1"/>
  <c r="W25"/>
  <c r="AC25" s="1"/>
  <c r="AD25" s="1"/>
  <c r="W13" l="1"/>
  <c r="AC13" s="1"/>
  <c r="AD13" s="1"/>
  <c r="AD56"/>
  <c r="AC35"/>
  <c r="AD35" s="1"/>
  <c r="W60"/>
  <c r="AC60" s="1"/>
  <c r="AD60" s="1"/>
  <c r="AC16"/>
  <c r="AD16" s="1"/>
  <c r="W66"/>
  <c r="AC66" s="1"/>
  <c r="AD66" s="1"/>
  <c r="W29"/>
  <c r="AC29" s="1"/>
  <c r="AD29" s="1"/>
  <c r="AC71" l="1"/>
</calcChain>
</file>

<file path=xl/sharedStrings.xml><?xml version="1.0" encoding="utf-8"?>
<sst xmlns="http://schemas.openxmlformats.org/spreadsheetml/2006/main" count="88" uniqueCount="88">
  <si>
    <t xml:space="preserve">Сводная информация по открытым бюджетам  за 2024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</si>
  <si>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</si>
  <si>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</si>
  <si>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</si>
  <si>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</si>
  <si>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</si>
  <si>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</si>
  <si>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</si>
  <si>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1 квартал</t>
  </si>
  <si>
    <t xml:space="preserve">2 квартал </t>
  </si>
  <si>
    <t>3 квартал</t>
  </si>
  <si>
    <t xml:space="preserve">4 квартал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</si>
  <si>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</si>
  <si>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</si>
  <si>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</si>
  <si>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</si>
  <si>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</si>
  <si>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</si>
  <si>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</si>
  <si>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</si>
  <si>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</si>
  <si>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</si>
  <si>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</si>
  <si>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ОСШ  с.Конысбай</t>
  </si>
  <si>
    <t>модерниз</t>
  </si>
  <si>
    <t>КГУ ОСШ с.Айдабул</t>
  </si>
  <si>
    <t>КГУ ОСШ с.Акколь</t>
  </si>
  <si>
    <t>КГУ ОСШ с.Акадыр</t>
  </si>
  <si>
    <t>КГУ ОСШ с.Алексеевка №1</t>
  </si>
  <si>
    <t>КГУ ОСШ с.Еликты</t>
  </si>
  <si>
    <t>КГУ ОСШ с.Бирлестык</t>
  </si>
  <si>
    <t>КГУ ОСШ с.Викторовка</t>
  </si>
  <si>
    <t>КГУ ОСШ с.Алексеевка №2</t>
  </si>
  <si>
    <t>КГУ ОСШ с.Еленовка</t>
  </si>
  <si>
    <t>КГУ ОСШ №1 с.Зеренда</t>
  </si>
  <si>
    <t>КГУ«Школа - гимназия имени Малика Габдуллина села Зеренда</t>
  </si>
  <si>
    <t>КГУ ОСШ № 2 с.Зеренда</t>
  </si>
  <si>
    <t>КГУ ОСШ с.Иглик</t>
  </si>
  <si>
    <t>КГУ ОСШ с.Исаковка</t>
  </si>
  <si>
    <t>КГУ ОСШ с.Оркен</t>
  </si>
  <si>
    <t>КГУ ОСШ с.Кызылсая</t>
  </si>
  <si>
    <t>КГУ ОСШ с.Кызылтан</t>
  </si>
  <si>
    <t>КГУ ОСШ с.Молодежное</t>
  </si>
  <si>
    <t>КГУ ОШ с.Ортагаш</t>
  </si>
  <si>
    <t>КГУ ОСШ с.Ортак</t>
  </si>
  <si>
    <t>КГУ ОСШ с.Приречное</t>
  </si>
  <si>
    <t>КГУ ОСШ с.Озен</t>
  </si>
  <si>
    <t>КГУ ОСШ с.Садовое</t>
  </si>
  <si>
    <t>КГУ ОСШ с.Сейфулино</t>
  </si>
  <si>
    <t>КГУ ОСШ с.Симферополь</t>
  </si>
  <si>
    <t>КГУ ОШ с.Троицк</t>
  </si>
  <si>
    <t>КГУ ОСШ с.Шагалалы</t>
  </si>
  <si>
    <t>КГУ ОШ с.Азат</t>
  </si>
  <si>
    <t>КГУ ОШ с.Айдарлы</t>
  </si>
  <si>
    <t>КГУ ОШ с.Акан</t>
  </si>
  <si>
    <t>КГУ ОСШ с.Байтерек</t>
  </si>
  <si>
    <t>КГУ ОШ с. Баратай</t>
  </si>
  <si>
    <t>КГУ НШ с.Булак</t>
  </si>
  <si>
    <t>КГУ ОШ с.Васильковка</t>
  </si>
  <si>
    <t>КГУ ОШ с.Гранитное</t>
  </si>
  <si>
    <t>КГУ ОШ с.Донгулагаш</t>
  </si>
  <si>
    <t>КГУ ОШ с.Жолдыбай</t>
  </si>
  <si>
    <t>КГУ ОШ с.Жылымды</t>
  </si>
  <si>
    <t>КГУ ОШ с.Зереченое</t>
  </si>
  <si>
    <t>КГУ ОШ с.Канайби</t>
  </si>
  <si>
    <t>КГУ НШ с.Казахстан</t>
  </si>
  <si>
    <t>КГУ ОШ с.Кенеоткель</t>
  </si>
  <si>
    <t>КГУ ОШ с.Коктерек</t>
  </si>
  <si>
    <t>КГУ ОШ с.Костомаровка</t>
  </si>
  <si>
    <t>КГУ ОШ  с.Красный кордон</t>
  </si>
  <si>
    <t>КГУ ОШ с.Кызылегис</t>
  </si>
  <si>
    <t>КГУ ОШ с.Малотюкты</t>
  </si>
  <si>
    <t>КГУ ОШ с.Ескенижал</t>
  </si>
  <si>
    <t xml:space="preserve">КГУ ОШ с.Малика Габдуллина </t>
  </si>
  <si>
    <t>КГУ ОШ с.Уголки</t>
  </si>
  <si>
    <t>КГУ ОШ ст.Чаглинска</t>
  </si>
  <si>
    <t>КГУ НШ с.Уялы</t>
  </si>
  <si>
    <t>КГУ НШ с.Жанаул</t>
  </si>
  <si>
    <t>КГУ НШ с.Ивановка</t>
  </si>
  <si>
    <t>КГУ НШ с.Павловка</t>
  </si>
  <si>
    <t>КГУ НШ с.Карагай</t>
  </si>
  <si>
    <t>КГУ НШ с.Караузек</t>
  </si>
  <si>
    <t>КГУ НШ с.Карсак</t>
  </si>
  <si>
    <t>КГУ НШ с.Красиловка</t>
  </si>
  <si>
    <t xml:space="preserve">ГУ Отдел образования </t>
  </si>
  <si>
    <t>Вечерка</t>
  </si>
  <si>
    <t>ИТОГО:</t>
  </si>
  <si>
    <t>тыс.т.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</si>
</sst>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-419]General"/>
    <numFmt numFmtId="166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ahoma"/>
      <family val="2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2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0" fontId="10" fillId="2" borderId="10" xfId="0" applyFont="1" applyFill="1" applyBorder="1"/>
    <xf numFmtId="2" fontId="11" fillId="2" borderId="6" xfId="1" applyNumberFormat="1" applyFont="1" applyFill="1" applyBorder="1" applyAlignment="1">
      <alignment vertical="top" wrapText="1"/>
    </xf>
    <xf numFmtId="164" fontId="11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6" xfId="0" applyNumberFormat="1" applyFont="1" applyFill="1" applyBorder="1" applyAlignment="1">
      <alignment horizontal="center" vertical="center" wrapText="1"/>
    </xf>
    <xf numFmtId="4" fontId="0" fillId="2" borderId="6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165" fontId="9" fillId="2" borderId="11" xfId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2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top" wrapText="1"/>
    </xf>
    <xf numFmtId="3" fontId="4" fillId="2" borderId="9" xfId="0" applyNumberFormat="1" applyFon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vertical="center" wrapText="1"/>
    </xf>
    <xf numFmtId="164" fontId="11" fillId="2" borderId="6" xfId="1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 vertical="top" wrapText="1"/>
    </xf>
    <xf numFmtId="166" fontId="6" fillId="2" borderId="6" xfId="0" applyNumberFormat="1" applyFont="1" applyFill="1" applyBorder="1" applyAlignment="1">
      <alignment horizontal="center" vertical="top" wrapText="1"/>
    </xf>
    <xf numFmtId="165" fontId="13" fillId="2" borderId="12" xfId="1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vertical="top" wrapText="1"/>
    </xf>
    <xf numFmtId="3" fontId="14" fillId="2" borderId="9" xfId="0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2" borderId="6" xfId="0" applyFont="1" applyFill="1" applyBorder="1"/>
    <xf numFmtId="4" fontId="15" fillId="2" borderId="6" xfId="0" applyNumberFormat="1" applyFont="1" applyFill="1" applyBorder="1"/>
    <xf numFmtId="0" fontId="15" fillId="2" borderId="0" xfId="0" applyFont="1" applyFill="1"/>
    <xf numFmtId="164" fontId="11" fillId="2" borderId="6" xfId="1" applyNumberFormat="1" applyFont="1" applyFill="1" applyBorder="1" applyAlignment="1"/>
    <xf numFmtId="165" fontId="11" fillId="2" borderId="13" xfId="1" applyFont="1" applyFill="1" applyBorder="1" applyAlignment="1">
      <alignment vertical="top" wrapText="1"/>
    </xf>
    <xf numFmtId="164" fontId="16" fillId="2" borderId="6" xfId="1" applyNumberFormat="1" applyFont="1" applyFill="1" applyBorder="1" applyAlignment="1"/>
    <xf numFmtId="3" fontId="17" fillId="2" borderId="6" xfId="0" applyNumberFormat="1" applyFont="1" applyFill="1" applyBorder="1" applyAlignment="1">
      <alignment horizontal="center"/>
    </xf>
    <xf numFmtId="0" fontId="18" fillId="2" borderId="0" xfId="0" applyFont="1" applyFill="1"/>
    <xf numFmtId="164" fontId="18" fillId="2" borderId="6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3" fontId="21" fillId="2" borderId="0" xfId="0" applyNumberFormat="1" applyFont="1" applyFill="1" applyAlignment="1">
      <alignment horizontal="center"/>
    </xf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65" fontId="16" fillId="2" borderId="13" xfId="1" applyFont="1" applyFill="1" applyBorder="1" applyAlignment="1">
      <alignment horizontal="center"/>
    </xf>
    <xf numFmtId="165" fontId="16" fillId="2" borderId="14" xfId="1" applyFont="1" applyFill="1" applyBorder="1" applyAlignment="1">
      <alignment horizontal="center"/>
    </xf>
    <xf numFmtId="3" fontId="21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92;&#1077;&#1074;&#1088;&#1072;&#1083;&#1100;%20&#1058;&#1040;&#1056;&#1048;&#1060;&#1048;&#1050;&#1040;&#1062;&#1048;&#1071;%202024&#1075;&#1075;%20&#8212;%20&#8212;%20&#1082;&#1086;&#1087;&#1080;&#1103;/&#1064;&#1058;&#1040;&#1058;&#1053;&#1054;&#1045;%20&#1064;&#1050;&#1054;&#1051;&#1067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2;&#1054;&#1048;%20&#1076;&#1086;&#1082;&#1091;&#1084;&#1077;&#1085;&#1090;&#1099;/&#1087;&#1077;&#1088;&#1077;&#1093;&#1086;&#1076;%20&#1085;&#1072;%20&#1091;&#1075;&#1086;&#1083;&#1100;%2025.05.2022&#1075;/&#1056;&#1072;&#1089;&#1095;&#1077;&#1090;%20&#1091;&#1075;&#1083;&#1103;%20&#1085;&#1072;%202023%20&#1075;&#1086;&#10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47;&#1077;&#1088;&#1077;&#1085;&#1076;&#1072;%20&#1073;&#1102;&#1076;&#1078;&#1077;&#1090;%20&#1085;&#1072;%20%202024&#1075;&#1075;/&#1073;&#1102;&#1076;&#1078;&#1077;&#1090;&#1082;&#1072;%202024/&#1073;&#1102;&#1076;&#1078;&#1077;&#1090;&#1082;&#1072;%20&#1085;&#1072;%20%202024/&#1041;&#1102;&#1076;&#1078;&#1077;&#1090;%202024%20&#1075;&#1086;&#1076;/08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  <row r="77">
          <cell r="I77">
            <v>5328150.2674687505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ская"/>
      <sheetName val="Еликты"/>
      <sheetName val="Бирлестык"/>
      <sheetName val="Еленовка"/>
      <sheetName val="Долом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  <sheetName val="1,71 расче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7">
          <cell r="L7">
            <v>227416.69517087215</v>
          </cell>
        </row>
        <row r="8">
          <cell r="L8">
            <v>203930.68707569997</v>
          </cell>
        </row>
        <row r="9">
          <cell r="L9">
            <v>146356.89919023169</v>
          </cell>
        </row>
        <row r="10">
          <cell r="L10">
            <v>139608.83309206116</v>
          </cell>
        </row>
        <row r="12">
          <cell r="L12">
            <v>166291.14465285669</v>
          </cell>
        </row>
        <row r="13">
          <cell r="L13">
            <v>132832.58371368863</v>
          </cell>
        </row>
        <row r="14">
          <cell r="L14">
            <v>124853.01085135585</v>
          </cell>
        </row>
        <row r="15">
          <cell r="L15">
            <v>243937.50348126108</v>
          </cell>
        </row>
        <row r="16">
          <cell r="L16">
            <v>273202.12036206259</v>
          </cell>
        </row>
        <row r="17">
          <cell r="L17">
            <v>143416.25499934776</v>
          </cell>
        </row>
        <row r="18">
          <cell r="L18">
            <v>445218.71532155998</v>
          </cell>
        </row>
        <row r="19">
          <cell r="L19">
            <v>270242.25558862003</v>
          </cell>
        </row>
        <row r="20">
          <cell r="L20">
            <v>191351.14729446004</v>
          </cell>
        </row>
        <row r="21">
          <cell r="L21">
            <v>139905.25362652529</v>
          </cell>
        </row>
        <row r="22">
          <cell r="L22">
            <v>95938.61046375001</v>
          </cell>
        </row>
        <row r="23">
          <cell r="L23">
            <v>109650.80325670597</v>
          </cell>
        </row>
        <row r="24">
          <cell r="L24">
            <v>128236.59578164615</v>
          </cell>
        </row>
        <row r="25">
          <cell r="L25">
            <v>250010.33078068667</v>
          </cell>
        </row>
        <row r="26">
          <cell r="L26">
            <v>162405.29393733203</v>
          </cell>
        </row>
        <row r="27">
          <cell r="L27">
            <v>127044.78590227796</v>
          </cell>
        </row>
        <row r="28">
          <cell r="L28">
            <v>72746.304123189184</v>
          </cell>
        </row>
        <row r="29">
          <cell r="L29">
            <v>135413.95017797267</v>
          </cell>
        </row>
        <row r="30">
          <cell r="L30">
            <v>168142.88349932511</v>
          </cell>
        </row>
        <row r="31">
          <cell r="L31">
            <v>189539.97706085307</v>
          </cell>
        </row>
        <row r="32">
          <cell r="L32">
            <v>81472.503355691006</v>
          </cell>
        </row>
        <row r="33">
          <cell r="L33">
            <v>141375.70514991527</v>
          </cell>
        </row>
        <row r="34">
          <cell r="L34">
            <v>131368.25488215114</v>
          </cell>
        </row>
        <row r="35">
          <cell r="L35">
            <v>296118.20393229136</v>
          </cell>
        </row>
        <row r="36">
          <cell r="L36">
            <v>106605.5672405169</v>
          </cell>
        </row>
        <row r="37">
          <cell r="L37">
            <v>96158.287223941137</v>
          </cell>
        </row>
        <row r="38">
          <cell r="L38">
            <v>77641.487982677994</v>
          </cell>
        </row>
        <row r="40">
          <cell r="L40">
            <v>64656.239018170148</v>
          </cell>
        </row>
        <row r="42">
          <cell r="L42">
            <v>72790.795424472119</v>
          </cell>
        </row>
        <row r="43">
          <cell r="L43">
            <v>154932.838392887</v>
          </cell>
        </row>
        <row r="44">
          <cell r="L44">
            <v>132223.2328815432</v>
          </cell>
        </row>
        <row r="45">
          <cell r="L45">
            <v>83772.901738453234</v>
          </cell>
        </row>
        <row r="46">
          <cell r="L46">
            <v>112492.92388283582</v>
          </cell>
        </row>
        <row r="47">
          <cell r="L47">
            <v>66695.77728379883</v>
          </cell>
        </row>
        <row r="48">
          <cell r="L48">
            <v>80404.244000619379</v>
          </cell>
        </row>
        <row r="50">
          <cell r="L50">
            <v>31294.077679359187</v>
          </cell>
        </row>
        <row r="52">
          <cell r="L52">
            <v>24836.438553436328</v>
          </cell>
        </row>
        <row r="53">
          <cell r="L53">
            <v>112096.6683148742</v>
          </cell>
        </row>
        <row r="54">
          <cell r="L54">
            <v>59434.772715603831</v>
          </cell>
        </row>
        <row r="55">
          <cell r="L55">
            <v>60322.495496306328</v>
          </cell>
        </row>
        <row r="56">
          <cell r="L56">
            <v>83834.728034456348</v>
          </cell>
        </row>
        <row r="57">
          <cell r="L57">
            <v>57540.732972449761</v>
          </cell>
        </row>
        <row r="58">
          <cell r="L58">
            <v>123152.52706166889</v>
          </cell>
        </row>
        <row r="59">
          <cell r="L59">
            <v>43841.360347253278</v>
          </cell>
        </row>
        <row r="60">
          <cell r="L60">
            <v>156780.99832714666</v>
          </cell>
        </row>
        <row r="61">
          <cell r="L61">
            <v>13577.144351609011</v>
          </cell>
        </row>
        <row r="62">
          <cell r="L62">
            <v>25779.394020106036</v>
          </cell>
        </row>
        <row r="63">
          <cell r="L63">
            <v>19813.092739648469</v>
          </cell>
        </row>
        <row r="64">
          <cell r="L64">
            <v>31410.10755623463</v>
          </cell>
        </row>
        <row r="65">
          <cell r="L65">
            <v>17583.355674343467</v>
          </cell>
        </row>
        <row r="66">
          <cell r="L66">
            <v>15466.27453648347</v>
          </cell>
        </row>
        <row r="67">
          <cell r="L67">
            <v>25738.465093093469</v>
          </cell>
        </row>
        <row r="68">
          <cell r="L68">
            <v>17913.080844208689</v>
          </cell>
        </row>
        <row r="70">
          <cell r="L70">
            <v>17599.736371483472</v>
          </cell>
        </row>
        <row r="71">
          <cell r="L71">
            <v>14506.193297602471</v>
          </cell>
        </row>
        <row r="72">
          <cell r="L72">
            <v>83328.959049375</v>
          </cell>
        </row>
      </sheetData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9">
          <cell r="AC9">
            <v>5736.48</v>
          </cell>
        </row>
        <row r="10">
          <cell r="AC10">
            <v>6109.44</v>
          </cell>
        </row>
        <row r="13">
          <cell r="AC13">
            <v>7521.36</v>
          </cell>
        </row>
        <row r="14">
          <cell r="AC14">
            <v>5721.6800000000012</v>
          </cell>
        </row>
        <row r="15">
          <cell r="AC15">
            <v>12608.712</v>
          </cell>
        </row>
        <row r="16">
          <cell r="AC16">
            <v>5322.08</v>
          </cell>
        </row>
        <row r="17">
          <cell r="AC17">
            <v>9939.68</v>
          </cell>
        </row>
        <row r="18">
          <cell r="AC18">
            <v>6796.16</v>
          </cell>
        </row>
        <row r="19">
          <cell r="AC19">
            <v>4733.6319999999996</v>
          </cell>
        </row>
        <row r="20">
          <cell r="AC20">
            <v>5612.7520000000004</v>
          </cell>
        </row>
        <row r="21">
          <cell r="AC21">
            <v>6628.92</v>
          </cell>
        </row>
        <row r="22">
          <cell r="AC22">
            <v>6503.12</v>
          </cell>
        </row>
        <row r="23">
          <cell r="AC23">
            <v>2798.9760000000006</v>
          </cell>
        </row>
        <row r="24">
          <cell r="AC24">
            <v>7059.6</v>
          </cell>
        </row>
        <row r="25">
          <cell r="AC25">
            <v>3306.32</v>
          </cell>
        </row>
        <row r="26">
          <cell r="AC26">
            <v>3253.04</v>
          </cell>
        </row>
        <row r="27">
          <cell r="AC27">
            <v>4768.8559999999998</v>
          </cell>
        </row>
        <row r="28">
          <cell r="AC28">
            <v>5524.2479999999996</v>
          </cell>
        </row>
        <row r="29">
          <cell r="AC29">
            <v>2644.4639999999999</v>
          </cell>
        </row>
        <row r="30">
          <cell r="AC30">
            <v>9072.4</v>
          </cell>
        </row>
        <row r="31">
          <cell r="AC31">
            <v>3895.36</v>
          </cell>
        </row>
        <row r="32">
          <cell r="AC32">
            <v>10253.44</v>
          </cell>
        </row>
        <row r="33">
          <cell r="AC33">
            <v>7772.96</v>
          </cell>
        </row>
        <row r="34">
          <cell r="AC34">
            <v>2617.232</v>
          </cell>
        </row>
        <row r="35">
          <cell r="AC35">
            <v>5905.2</v>
          </cell>
        </row>
        <row r="36">
          <cell r="AC36">
            <v>5082.3200000000006</v>
          </cell>
        </row>
        <row r="37">
          <cell r="AC37">
            <v>6914.56</v>
          </cell>
        </row>
        <row r="38">
          <cell r="AC38">
            <v>7624.96</v>
          </cell>
        </row>
        <row r="39">
          <cell r="AC39">
            <v>864.32</v>
          </cell>
        </row>
        <row r="40">
          <cell r="AC40">
            <v>3492.8</v>
          </cell>
        </row>
        <row r="41">
          <cell r="AC41">
            <v>1231.3599999999999</v>
          </cell>
        </row>
        <row r="42">
          <cell r="AC42">
            <v>1156.768</v>
          </cell>
        </row>
        <row r="43">
          <cell r="AC43">
            <v>6076.88</v>
          </cell>
        </row>
        <row r="44">
          <cell r="AC44">
            <v>2702.48</v>
          </cell>
        </row>
        <row r="45">
          <cell r="AC45">
            <v>301.32799999999997</v>
          </cell>
        </row>
        <row r="46">
          <cell r="AC46">
            <v>6799.12</v>
          </cell>
        </row>
        <row r="48">
          <cell r="AC48">
            <v>1323.4159999999999</v>
          </cell>
        </row>
        <row r="49">
          <cell r="AC49">
            <v>1384.6880000000001</v>
          </cell>
        </row>
        <row r="50">
          <cell r="AC50">
            <v>3778.7359999999999</v>
          </cell>
        </row>
        <row r="52">
          <cell r="AC52">
            <v>5415.3200000000006</v>
          </cell>
        </row>
        <row r="53">
          <cell r="AC53">
            <v>441.04</v>
          </cell>
        </row>
        <row r="54">
          <cell r="AC54">
            <v>367.92800000000005</v>
          </cell>
        </row>
        <row r="55">
          <cell r="AC55">
            <v>5511.52</v>
          </cell>
        </row>
        <row r="56">
          <cell r="AC56">
            <v>586.08000000000004</v>
          </cell>
        </row>
        <row r="59">
          <cell r="AC59">
            <v>331.52000000000004</v>
          </cell>
        </row>
        <row r="60">
          <cell r="AC60">
            <v>867.28</v>
          </cell>
        </row>
        <row r="61">
          <cell r="AC61">
            <v>1309.5039999999997</v>
          </cell>
        </row>
        <row r="63">
          <cell r="AC63">
            <v>1217.152</v>
          </cell>
        </row>
        <row r="64">
          <cell r="AC64">
            <v>2134.16</v>
          </cell>
        </row>
        <row r="65">
          <cell r="AC65">
            <v>233.84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ГУ"/>
      <sheetName val="сводна по зпл"/>
      <sheetName val="111 учителя"/>
      <sheetName val="адм персвонал 111"/>
      <sheetName val="111 рабочие "/>
      <sheetName val="113"/>
      <sheetName val="121"/>
      <sheetName val="122"/>
      <sheetName val="124"/>
      <sheetName val="131"/>
      <sheetName val="135"/>
      <sheetName val="внешт"/>
      <sheetName val="141"/>
      <sheetName val="144"/>
      <sheetName val="149"/>
      <sheetName val="канц.тов "/>
      <sheetName val="подписка"/>
      <sheetName val="хоз"/>
      <sheetName val="сводная по 151"/>
      <sheetName val="151 вода"/>
      <sheetName val="151свет"/>
      <sheetName val="151"/>
      <sheetName val=" 151 свет 2"/>
      <sheetName val="151 свет"/>
      <sheetName val="152"/>
      <sheetName val="159"/>
      <sheetName val="медосм"/>
      <sheetName val="дератиз"/>
      <sheetName val="канализ"/>
      <sheetName val="расшф 159"/>
      <sheetName val="161..."/>
      <sheetName val="163"/>
      <sheetName val="163 прил."/>
      <sheetName val="169"/>
      <sheetName val="1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K6">
            <v>2138609.38</v>
          </cell>
        </row>
        <row r="10">
          <cell r="K10">
            <v>2075185.7000000002</v>
          </cell>
        </row>
        <row r="13">
          <cell r="K13">
            <v>312142.34000000003</v>
          </cell>
        </row>
        <row r="17">
          <cell r="K17">
            <v>1722011.95</v>
          </cell>
        </row>
        <row r="21">
          <cell r="K21">
            <v>556854.85</v>
          </cell>
        </row>
        <row r="27">
          <cell r="K27">
            <v>1057665.77</v>
          </cell>
        </row>
        <row r="35">
          <cell r="K35">
            <v>183523.84</v>
          </cell>
        </row>
        <row r="106">
          <cell r="K106">
            <v>2336471.02</v>
          </cell>
        </row>
        <row r="110">
          <cell r="K110">
            <v>668521.01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79"/>
  <sheetViews>
    <sheetView tabSelected="1" workbookViewId="0">
      <selection activeCell="B1" sqref="B1:K1"/>
    </sheetView>
  </sheetViews>
  <sheetFormatPr defaultRowHeight="15"/>
  <cols>
    <col min="1" max="1" width="4.5703125" customWidth="1"/>
    <col min="2" max="2" width="33.5703125" customWidth="1"/>
    <col min="3" max="3" width="15.7109375" style="88" hidden="1" customWidth="1"/>
    <col min="4" max="4" width="12.7109375" style="88" hidden="1" customWidth="1"/>
    <col min="5" max="5" width="10.5703125" style="88" hidden="1" customWidth="1"/>
    <col min="6" max="6" width="11.42578125" style="88" hidden="1" customWidth="1"/>
    <col min="7" max="9" width="13.7109375" style="89" customWidth="1"/>
    <col min="10" max="10" width="13.140625" style="89" customWidth="1"/>
    <col min="11" max="12" width="14.42578125" style="89" customWidth="1"/>
    <col min="13" max="13" width="15.7109375" style="89" customWidth="1"/>
    <col min="14" max="14" width="12.140625" style="90" customWidth="1"/>
    <col min="15" max="17" width="12.28515625" style="90" customWidth="1"/>
    <col min="18" max="18" width="11.85546875" style="90" customWidth="1"/>
    <col min="19" max="19" width="11" style="90" hidden="1" customWidth="1"/>
    <col min="20" max="21" width="10.7109375" style="90" hidden="1" customWidth="1"/>
    <col min="22" max="22" width="17.85546875" style="4" customWidth="1"/>
    <col min="23" max="23" width="13" customWidth="1"/>
    <col min="24" max="24" width="9.140625" hidden="1" customWidth="1"/>
    <col min="25" max="25" width="11.5703125" customWidth="1"/>
    <col min="26" max="26" width="12" customWidth="1"/>
    <col min="27" max="27" width="13.85546875" customWidth="1"/>
    <col min="28" max="28" width="0.140625" customWidth="1"/>
    <col min="29" max="29" width="11.42578125" hidden="1" customWidth="1"/>
    <col min="30" max="30" width="12.140625" hidden="1" customWidth="1"/>
  </cols>
  <sheetData>
    <row r="1" spans="1:30" ht="20.25">
      <c r="A1" s="1"/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2"/>
      <c r="M1" s="3"/>
      <c r="N1" s="2"/>
      <c r="O1" s="2"/>
      <c r="P1" s="2"/>
      <c r="Q1" s="2"/>
      <c r="R1" s="2"/>
      <c r="S1" s="2"/>
      <c r="T1" s="2"/>
      <c r="U1" s="2"/>
    </row>
    <row r="2" spans="1:30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5"/>
      <c r="R2" s="6"/>
      <c r="S2" s="7"/>
      <c r="T2" s="7"/>
      <c r="U2" s="7"/>
      <c r="V2" s="8"/>
    </row>
    <row r="3" spans="1:30" ht="15.7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12"/>
      <c r="I3" s="120" t="s">
        <v>4</v>
      </c>
      <c r="J3" s="121"/>
      <c r="K3" s="122"/>
      <c r="L3" s="121" t="s">
        <v>5</v>
      </c>
      <c r="M3" s="104" t="s">
        <v>6</v>
      </c>
      <c r="N3" s="105"/>
      <c r="O3" s="105"/>
      <c r="P3" s="105"/>
      <c r="Q3" s="105"/>
      <c r="R3" s="106"/>
      <c r="S3" s="115"/>
      <c r="T3" s="109"/>
      <c r="U3" s="109"/>
      <c r="V3" s="112" t="s">
        <v>7</v>
      </c>
      <c r="W3" s="100" t="s">
        <v>8</v>
      </c>
      <c r="X3" s="13"/>
      <c r="Y3" s="100" t="s">
        <v>9</v>
      </c>
      <c r="Z3" s="100" t="s">
        <v>10</v>
      </c>
      <c r="AA3" s="100" t="s">
        <v>11</v>
      </c>
    </row>
    <row r="4" spans="1:30" ht="2.25" hidden="1" customHeight="1">
      <c r="A4" s="14"/>
      <c r="B4" s="101"/>
      <c r="C4" s="101"/>
      <c r="D4" s="101"/>
      <c r="E4" s="101"/>
      <c r="F4" s="101"/>
      <c r="G4" s="101"/>
      <c r="H4" s="101"/>
      <c r="I4" s="101"/>
      <c r="J4" s="101"/>
      <c r="K4" s="15"/>
      <c r="L4" s="123"/>
      <c r="M4" s="16"/>
      <c r="N4" s="16"/>
      <c r="O4" s="16"/>
      <c r="P4" s="16"/>
      <c r="Q4" s="16"/>
      <c r="R4" s="16"/>
      <c r="S4" s="116"/>
      <c r="T4" s="110"/>
      <c r="U4" s="110"/>
      <c r="V4" s="113"/>
      <c r="W4" s="100"/>
      <c r="X4" s="13"/>
      <c r="Y4" s="100"/>
      <c r="Z4" s="100"/>
      <c r="AA4" s="100"/>
    </row>
    <row r="5" spans="1:30" ht="15" hidden="1" customHeight="1">
      <c r="A5" s="14"/>
      <c r="B5" s="17"/>
      <c r="C5" s="18"/>
      <c r="D5" s="18"/>
      <c r="E5" s="18"/>
      <c r="F5" s="18"/>
      <c r="G5" s="15"/>
      <c r="H5" s="15"/>
      <c r="I5" s="15"/>
      <c r="J5" s="15"/>
      <c r="K5" s="15"/>
      <c r="L5" s="123"/>
      <c r="M5" s="16"/>
      <c r="N5" s="16"/>
      <c r="O5" s="16"/>
      <c r="P5" s="16"/>
      <c r="Q5" s="16"/>
      <c r="R5" s="16"/>
      <c r="S5" s="116"/>
      <c r="T5" s="110"/>
      <c r="U5" s="110"/>
      <c r="V5" s="113"/>
      <c r="W5" s="100"/>
      <c r="X5" s="13"/>
      <c r="Y5" s="100"/>
      <c r="Z5" s="100"/>
      <c r="AA5" s="100"/>
    </row>
    <row r="6" spans="1:30" ht="30" hidden="1" customHeight="1">
      <c r="A6" s="19"/>
      <c r="B6" s="20"/>
      <c r="C6" s="21"/>
      <c r="D6" s="102" t="s">
        <v>12</v>
      </c>
      <c r="E6" s="102"/>
      <c r="F6" s="102"/>
      <c r="G6" s="22" t="s">
        <v>13</v>
      </c>
      <c r="H6" s="22"/>
      <c r="I6" s="103" t="s">
        <v>14</v>
      </c>
      <c r="J6" s="103"/>
      <c r="K6" s="103"/>
      <c r="L6" s="123"/>
      <c r="M6" s="104" t="s">
        <v>15</v>
      </c>
      <c r="N6" s="105"/>
      <c r="O6" s="105"/>
      <c r="P6" s="105"/>
      <c r="Q6" s="106"/>
      <c r="R6" s="107" t="s">
        <v>16</v>
      </c>
      <c r="S6" s="116"/>
      <c r="T6" s="110"/>
      <c r="U6" s="110"/>
      <c r="V6" s="113"/>
      <c r="W6" s="100"/>
      <c r="X6" s="13"/>
      <c r="Y6" s="100"/>
      <c r="Z6" s="100"/>
      <c r="AA6" s="100"/>
    </row>
    <row r="7" spans="1:30" ht="53.25" hidden="1" customHeight="1">
      <c r="A7" s="19"/>
      <c r="B7" s="20"/>
      <c r="C7" s="21">
        <v>111</v>
      </c>
      <c r="D7" s="21">
        <v>121</v>
      </c>
      <c r="E7" s="21">
        <v>122</v>
      </c>
      <c r="F7" s="21">
        <v>124</v>
      </c>
      <c r="G7" s="22" t="s">
        <v>17</v>
      </c>
      <c r="H7" s="22">
        <v>116</v>
      </c>
      <c r="I7" s="22">
        <v>121</v>
      </c>
      <c r="J7" s="22">
        <v>122</v>
      </c>
      <c r="K7" s="22">
        <v>124</v>
      </c>
      <c r="L7" s="124"/>
      <c r="M7" s="22" t="s">
        <v>18</v>
      </c>
      <c r="N7" s="23" t="s">
        <v>19</v>
      </c>
      <c r="O7" s="24" t="s">
        <v>20</v>
      </c>
      <c r="P7" s="24" t="s">
        <v>21</v>
      </c>
      <c r="Q7" s="24" t="s">
        <v>22</v>
      </c>
      <c r="R7" s="108"/>
      <c r="S7" s="117"/>
      <c r="T7" s="111"/>
      <c r="U7" s="111"/>
      <c r="V7" s="114"/>
      <c r="W7" s="100"/>
      <c r="X7" s="13"/>
      <c r="Y7" s="100"/>
      <c r="Z7" s="100"/>
      <c r="AA7" s="100"/>
    </row>
    <row r="8" spans="1:30" s="39" customFormat="1" ht="16.5" hidden="1" customHeight="1">
      <c r="A8" s="25">
        <v>1</v>
      </c>
      <c r="B8" s="26" t="s">
        <v>23</v>
      </c>
      <c r="C8" s="27">
        <f>'[1]Свод '!$J$6/1000</f>
        <v>12873.16800737935</v>
      </c>
      <c r="D8" s="28">
        <f>(C8-C8*10%)*6%</f>
        <v>695.15107239848487</v>
      </c>
      <c r="E8" s="28">
        <f>(C8-C8*10%)*3.5%</f>
        <v>405.50479223244957</v>
      </c>
      <c r="F8" s="28">
        <f>C8*2%</f>
        <v>257.46336014758703</v>
      </c>
      <c r="G8" s="29">
        <f>'[2]Свод '!$L$7</f>
        <v>227416.69517087215</v>
      </c>
      <c r="H8" s="29">
        <f>G8*1.5%</f>
        <v>3411.2504275630822</v>
      </c>
      <c r="I8" s="29">
        <f>(G8-G8*10%)*6%</f>
        <v>12280.501539227094</v>
      </c>
      <c r="J8" s="29">
        <f>(G8-G8*10%)*3.5%</f>
        <v>7163.6258978824726</v>
      </c>
      <c r="K8" s="29">
        <f>G8*2%</f>
        <v>4548.3339034174433</v>
      </c>
      <c r="L8" s="29">
        <f>G8+I8+J8+K8+H8</f>
        <v>254820.40693896226</v>
      </c>
      <c r="M8" s="29">
        <f>[3]Лист2!$AC$9</f>
        <v>5736.48</v>
      </c>
      <c r="N8" s="30">
        <v>818</v>
      </c>
      <c r="O8" s="31">
        <f>1120+368</f>
        <v>1488</v>
      </c>
      <c r="P8" s="31">
        <v>62.5</v>
      </c>
      <c r="Q8" s="31"/>
      <c r="R8" s="32"/>
      <c r="S8" s="33"/>
      <c r="T8" s="34"/>
      <c r="U8" s="34"/>
      <c r="V8" s="35">
        <f>L8+M8+N8+O8+P8+S8+R8+T8+U8+Q8</f>
        <v>262925.38693896227</v>
      </c>
      <c r="W8" s="36">
        <f>V8/4+2049.2</f>
        <v>67780.546734740565</v>
      </c>
      <c r="X8" s="37" t="s">
        <v>24</v>
      </c>
      <c r="Y8" s="36">
        <f>(L8+N8+O8+P8+Q8+R8)/4+819</f>
        <v>65116.226734740565</v>
      </c>
      <c r="Z8" s="38">
        <f>(L8+N8+O8+P8+Q8+R8)/4</f>
        <v>64297.226734740565</v>
      </c>
      <c r="AA8" s="36">
        <v>65731.346734740568</v>
      </c>
      <c r="AB8" s="39">
        <f>M8/7</f>
        <v>819.49714285714276</v>
      </c>
      <c r="AC8" s="40">
        <f>W8+Y8+Z8+AA8</f>
        <v>262925.34693896223</v>
      </c>
      <c r="AD8" s="38">
        <f>V8-AC8</f>
        <v>4.0000000037252903E-2</v>
      </c>
    </row>
    <row r="9" spans="1:30" s="39" customFormat="1" ht="15.75" hidden="1" customHeight="1">
      <c r="A9" s="41">
        <v>2</v>
      </c>
      <c r="B9" s="26" t="s">
        <v>25</v>
      </c>
      <c r="C9" s="28">
        <f>'[1]Свод '!$J$7/1000</f>
        <v>12013.720855255393</v>
      </c>
      <c r="D9" s="28">
        <f t="shared" ref="D9:D70" si="0">(C9-C9*10%)*6%</f>
        <v>648.7409261837912</v>
      </c>
      <c r="E9" s="28">
        <f t="shared" ref="E9:E70" si="1">(C9-C9*10%)*3.5%</f>
        <v>378.43220694054492</v>
      </c>
      <c r="F9" s="28">
        <f t="shared" ref="F9:F70" si="2">C9*2%</f>
        <v>240.27441710510786</v>
      </c>
      <c r="G9" s="29">
        <f>'[2]Свод '!$L$8</f>
        <v>203930.68707569997</v>
      </c>
      <c r="H9" s="29">
        <f t="shared" ref="H9:H71" si="3">G9*1.5%</f>
        <v>3058.9603061354996</v>
      </c>
      <c r="I9" s="29">
        <f t="shared" ref="I9:I68" si="4">(G9-G9*10%)*6%</f>
        <v>11012.257102087799</v>
      </c>
      <c r="J9" s="29">
        <f t="shared" ref="J9:J68" si="5">(G9-G9*10%)*3.5%</f>
        <v>6423.8166428845498</v>
      </c>
      <c r="K9" s="29">
        <f t="shared" ref="K9:K70" si="6">G9*2%</f>
        <v>4078.6137415139997</v>
      </c>
      <c r="L9" s="29">
        <f t="shared" ref="L9:L70" si="7">G9+I9+J9+K9+H9</f>
        <v>228504.33486832184</v>
      </c>
      <c r="M9" s="42"/>
      <c r="N9" s="43">
        <v>1441</v>
      </c>
      <c r="O9" s="43">
        <f>848.5+128+276+92</f>
        <v>1344.5</v>
      </c>
      <c r="P9" s="31">
        <v>187.5</v>
      </c>
      <c r="Q9" s="31"/>
      <c r="R9" s="32">
        <f>5924*205/1000</f>
        <v>1214.42</v>
      </c>
      <c r="S9" s="33"/>
      <c r="T9" s="34"/>
      <c r="U9" s="34"/>
      <c r="V9" s="35">
        <f t="shared" ref="V9:V35" si="8">L9+M9+N9+O9+P9+S9+R9+T9+U9+Q9</f>
        <v>232691.75486832185</v>
      </c>
      <c r="W9" s="36">
        <f t="shared" ref="W9:W70" si="9">V9/4</f>
        <v>58172.938717080462</v>
      </c>
      <c r="X9" s="37"/>
      <c r="Y9" s="36">
        <f t="shared" ref="Y9:Y70" si="10">(L9+N9+O9+P9+Q9+R9)/4+819</f>
        <v>58991.938717080462</v>
      </c>
      <c r="Z9" s="38">
        <f t="shared" ref="Z9:Z70" si="11">(L9+N9+O9+P9+Q9+R9)/4</f>
        <v>58172.938717080462</v>
      </c>
      <c r="AA9" s="36">
        <f>58172.9387170805-819</f>
        <v>57353.938717080498</v>
      </c>
      <c r="AB9" s="39">
        <f t="shared" ref="AB9:AB70" si="12">M9/7</f>
        <v>0</v>
      </c>
      <c r="AC9" s="40">
        <f t="shared" ref="AC9:AC71" si="13">W9+Y9+Z9+AA9</f>
        <v>232691.75486832188</v>
      </c>
      <c r="AD9" s="38">
        <f t="shared" ref="AD9:AD70" si="14">V9-AC9</f>
        <v>0</v>
      </c>
    </row>
    <row r="10" spans="1:30" s="39" customFormat="1" ht="15.75" hidden="1" customHeight="1">
      <c r="A10" s="44">
        <v>3</v>
      </c>
      <c r="B10" s="26" t="s">
        <v>26</v>
      </c>
      <c r="C10" s="28">
        <v>14856.9</v>
      </c>
      <c r="D10" s="28">
        <f t="shared" si="0"/>
        <v>802.2725999999999</v>
      </c>
      <c r="E10" s="28">
        <f t="shared" si="1"/>
        <v>467.99234999999999</v>
      </c>
      <c r="F10" s="28">
        <f t="shared" si="2"/>
        <v>297.13799999999998</v>
      </c>
      <c r="G10" s="29">
        <v>264019</v>
      </c>
      <c r="H10" s="29">
        <f t="shared" si="3"/>
        <v>3960.2849999999999</v>
      </c>
      <c r="I10" s="29">
        <f t="shared" si="4"/>
        <v>14257.026</v>
      </c>
      <c r="J10" s="29">
        <f t="shared" si="5"/>
        <v>8316.5985000000019</v>
      </c>
      <c r="K10" s="29">
        <f t="shared" si="6"/>
        <v>5280.38</v>
      </c>
      <c r="L10" s="29">
        <f t="shared" si="7"/>
        <v>295833.28950000001</v>
      </c>
      <c r="M10" s="42">
        <v>8542</v>
      </c>
      <c r="N10" s="91">
        <v>2414.1999999999998</v>
      </c>
      <c r="O10" s="43">
        <f>403+284+184+92</f>
        <v>963</v>
      </c>
      <c r="P10" s="31">
        <v>180</v>
      </c>
      <c r="Q10" s="31">
        <v>195</v>
      </c>
      <c r="R10" s="54">
        <v>1400</v>
      </c>
      <c r="S10" s="33"/>
      <c r="T10" s="34"/>
      <c r="U10" s="34"/>
      <c r="V10" s="35">
        <f t="shared" si="8"/>
        <v>309527.48950000003</v>
      </c>
      <c r="W10" s="36">
        <f>V10/4+3452</f>
        <v>80833.872375000006</v>
      </c>
      <c r="X10" s="37"/>
      <c r="Y10" s="36">
        <f t="shared" si="10"/>
        <v>76065.372375000006</v>
      </c>
      <c r="Z10" s="38">
        <f t="shared" si="11"/>
        <v>75246.372375000006</v>
      </c>
      <c r="AA10" s="36">
        <v>77381.872375000006</v>
      </c>
      <c r="AB10" s="39">
        <f t="shared" si="12"/>
        <v>1220.2857142857142</v>
      </c>
      <c r="AC10" s="40">
        <f t="shared" si="13"/>
        <v>309527.48950000003</v>
      </c>
      <c r="AD10" s="38">
        <f t="shared" si="14"/>
        <v>0</v>
      </c>
    </row>
    <row r="11" spans="1:30" s="39" customFormat="1" ht="15.75" hidden="1" customHeight="1">
      <c r="A11" s="44">
        <v>4</v>
      </c>
      <c r="B11" s="26" t="s">
        <v>27</v>
      </c>
      <c r="C11" s="28">
        <f>'[1]Свод '!$J$8/1000</f>
        <v>8629.2712720314339</v>
      </c>
      <c r="D11" s="28">
        <f t="shared" si="0"/>
        <v>465.98064868969738</v>
      </c>
      <c r="E11" s="28">
        <f t="shared" si="1"/>
        <v>271.82204506899018</v>
      </c>
      <c r="F11" s="28">
        <f t="shared" si="2"/>
        <v>172.58542544062868</v>
      </c>
      <c r="G11" s="29">
        <f>'[2]Свод '!$L$9</f>
        <v>146356.89919023169</v>
      </c>
      <c r="H11" s="29">
        <f t="shared" si="3"/>
        <v>2195.3534878534751</v>
      </c>
      <c r="I11" s="29">
        <f t="shared" si="4"/>
        <v>7903.2725562725118</v>
      </c>
      <c r="J11" s="29">
        <f t="shared" si="5"/>
        <v>4610.2423244922993</v>
      </c>
      <c r="K11" s="29">
        <f t="shared" si="6"/>
        <v>2927.1379838046337</v>
      </c>
      <c r="L11" s="29">
        <f t="shared" si="7"/>
        <v>163992.90554265463</v>
      </c>
      <c r="M11" s="42">
        <f>[3]Лист2!$AC$10</f>
        <v>6109.44</v>
      </c>
      <c r="N11" s="43">
        <v>1179</v>
      </c>
      <c r="O11" s="43">
        <v>184</v>
      </c>
      <c r="P11" s="31">
        <v>62.5</v>
      </c>
      <c r="Q11" s="31"/>
      <c r="R11" s="32">
        <f>3168*205/1000</f>
        <v>649.44000000000005</v>
      </c>
      <c r="S11" s="33"/>
      <c r="T11" s="34"/>
      <c r="U11" s="34"/>
      <c r="V11" s="35">
        <f t="shared" si="8"/>
        <v>172177.28554265463</v>
      </c>
      <c r="W11" s="36">
        <f>V11/4+2235.7</f>
        <v>45280.021385663655</v>
      </c>
      <c r="X11" s="37"/>
      <c r="Y11" s="36">
        <f t="shared" si="10"/>
        <v>42335.961385663657</v>
      </c>
      <c r="Z11" s="38">
        <f t="shared" si="11"/>
        <v>41516.961385663657</v>
      </c>
      <c r="AA11" s="36">
        <v>43044.321385663658</v>
      </c>
      <c r="AB11" s="39">
        <f t="shared" si="12"/>
        <v>872.77714285714285</v>
      </c>
      <c r="AC11" s="40">
        <f t="shared" si="13"/>
        <v>172177.26554265461</v>
      </c>
      <c r="AD11" s="38">
        <f t="shared" si="14"/>
        <v>2.0000000018626451E-2</v>
      </c>
    </row>
    <row r="12" spans="1:30" s="39" customFormat="1" ht="15.75" hidden="1" customHeight="1">
      <c r="A12" s="44">
        <v>5</v>
      </c>
      <c r="B12" s="26" t="s">
        <v>28</v>
      </c>
      <c r="C12" s="28">
        <f>'[1]Свод '!$J$9/1000</f>
        <v>7625.1002980835156</v>
      </c>
      <c r="D12" s="28">
        <f t="shared" si="0"/>
        <v>411.7554160965098</v>
      </c>
      <c r="E12" s="28">
        <f t="shared" si="1"/>
        <v>240.19065938963075</v>
      </c>
      <c r="F12" s="28">
        <f t="shared" si="2"/>
        <v>152.50200596167031</v>
      </c>
      <c r="G12" s="29">
        <f>'[2]Свод '!$L$10</f>
        <v>139608.83309206116</v>
      </c>
      <c r="H12" s="29">
        <f t="shared" si="3"/>
        <v>2094.1324963809175</v>
      </c>
      <c r="I12" s="29">
        <f t="shared" si="4"/>
        <v>7538.8769869713033</v>
      </c>
      <c r="J12" s="29">
        <f t="shared" si="5"/>
        <v>4397.6782423999275</v>
      </c>
      <c r="K12" s="29">
        <f t="shared" si="6"/>
        <v>2792.1766618412234</v>
      </c>
      <c r="L12" s="29">
        <f t="shared" si="7"/>
        <v>156431.69747965454</v>
      </c>
      <c r="M12" s="42">
        <f>[3]Лист2!$AC$13</f>
        <v>7521.36</v>
      </c>
      <c r="N12" s="43">
        <v>1608</v>
      </c>
      <c r="O12" s="43">
        <f>1120.2+276+92</f>
        <v>1488.2</v>
      </c>
      <c r="P12" s="31">
        <v>88</v>
      </c>
      <c r="Q12" s="31">
        <v>145</v>
      </c>
      <c r="R12" s="32"/>
      <c r="S12" s="33"/>
      <c r="T12" s="34"/>
      <c r="U12" s="34"/>
      <c r="V12" s="35">
        <f t="shared" si="8"/>
        <v>167282.25747965454</v>
      </c>
      <c r="W12" s="36">
        <f>V12/4+2941.7</f>
        <v>44762.264369913632</v>
      </c>
      <c r="X12" s="37"/>
      <c r="Y12" s="36">
        <f t="shared" si="10"/>
        <v>40759.224369913638</v>
      </c>
      <c r="Z12" s="38">
        <f t="shared" si="11"/>
        <v>39940.224369913638</v>
      </c>
      <c r="AA12" s="36">
        <v>41820.564369913634</v>
      </c>
      <c r="AB12" s="39">
        <f t="shared" si="12"/>
        <v>1074.48</v>
      </c>
      <c r="AC12" s="40">
        <f t="shared" si="13"/>
        <v>167282.27747965453</v>
      </c>
      <c r="AD12" s="38">
        <f t="shared" si="14"/>
        <v>-1.9999999989522621E-2</v>
      </c>
    </row>
    <row r="13" spans="1:30" s="39" customFormat="1" ht="15.75" hidden="1" customHeight="1">
      <c r="A13" s="44">
        <v>6</v>
      </c>
      <c r="B13" s="26" t="s">
        <v>29</v>
      </c>
      <c r="C13" s="28">
        <f>'[1]Свод '!$J$11/1000</f>
        <v>9385.1176688126852</v>
      </c>
      <c r="D13" s="28">
        <f>(C13-C13*10%)*6%</f>
        <v>506.79635411588492</v>
      </c>
      <c r="E13" s="28">
        <f t="shared" si="1"/>
        <v>295.63120656759958</v>
      </c>
      <c r="F13" s="28">
        <f t="shared" si="2"/>
        <v>187.70235337625371</v>
      </c>
      <c r="G13" s="29">
        <f>'[2]Свод '!$L$12</f>
        <v>166291.14465285669</v>
      </c>
      <c r="H13" s="29">
        <f t="shared" si="3"/>
        <v>2494.3671697928503</v>
      </c>
      <c r="I13" s="29">
        <f t="shared" si="4"/>
        <v>8979.7218112542596</v>
      </c>
      <c r="J13" s="29">
        <f t="shared" si="5"/>
        <v>5238.1710565649864</v>
      </c>
      <c r="K13" s="29">
        <f t="shared" si="6"/>
        <v>3325.822893057134</v>
      </c>
      <c r="L13" s="29">
        <f t="shared" si="7"/>
        <v>186329.22758352591</v>
      </c>
      <c r="M13" s="42">
        <f>[3]Лист2!$AC$14</f>
        <v>5721.6800000000012</v>
      </c>
      <c r="N13" s="43">
        <v>669</v>
      </c>
      <c r="O13" s="43">
        <f>360+184</f>
        <v>544</v>
      </c>
      <c r="P13" s="31">
        <v>75</v>
      </c>
      <c r="Q13" s="31"/>
      <c r="R13" s="32"/>
      <c r="S13" s="33"/>
      <c r="T13" s="34"/>
      <c r="U13" s="34"/>
      <c r="V13" s="35">
        <f t="shared" si="8"/>
        <v>193338.9075835259</v>
      </c>
      <c r="W13" s="36">
        <f>V13/4+2941.7-899.9</f>
        <v>50376.52689588147</v>
      </c>
      <c r="X13" s="37"/>
      <c r="Y13" s="36">
        <f t="shared" si="10"/>
        <v>47723.306895881477</v>
      </c>
      <c r="Z13" s="38">
        <f t="shared" si="11"/>
        <v>46904.306895881477</v>
      </c>
      <c r="AA13" s="36">
        <v>48334.726895881475</v>
      </c>
      <c r="AB13" s="39">
        <f t="shared" si="12"/>
        <v>817.38285714285735</v>
      </c>
      <c r="AC13" s="40">
        <f t="shared" si="13"/>
        <v>193338.86758352589</v>
      </c>
      <c r="AD13" s="38">
        <f t="shared" si="14"/>
        <v>4.0000000008149073E-2</v>
      </c>
    </row>
    <row r="14" spans="1:30" s="39" customFormat="1" ht="15.75" hidden="1" customHeight="1">
      <c r="A14" s="44">
        <v>7</v>
      </c>
      <c r="B14" s="26" t="s">
        <v>30</v>
      </c>
      <c r="C14" s="28">
        <f>'[1]Свод '!$J$12/1000</f>
        <v>7425.1813609999999</v>
      </c>
      <c r="D14" s="28">
        <f t="shared" si="0"/>
        <v>400.95979349399994</v>
      </c>
      <c r="E14" s="28">
        <f t="shared" si="1"/>
        <v>233.8932128715</v>
      </c>
      <c r="F14" s="28">
        <f t="shared" si="2"/>
        <v>148.50362722</v>
      </c>
      <c r="G14" s="29">
        <f>'[2]Свод '!$L$13</f>
        <v>132832.58371368863</v>
      </c>
      <c r="H14" s="29">
        <f t="shared" si="3"/>
        <v>1992.4887557053294</v>
      </c>
      <c r="I14" s="29">
        <f t="shared" si="4"/>
        <v>7172.9595205391852</v>
      </c>
      <c r="J14" s="29">
        <f t="shared" si="5"/>
        <v>4184.2263869811923</v>
      </c>
      <c r="K14" s="29">
        <f t="shared" si="6"/>
        <v>2656.6516742737726</v>
      </c>
      <c r="L14" s="29">
        <f t="shared" si="7"/>
        <v>148838.91005118811</v>
      </c>
      <c r="M14" s="42">
        <f>[3]Лист2!$AC$16</f>
        <v>5322.08</v>
      </c>
      <c r="N14" s="43">
        <v>869</v>
      </c>
      <c r="O14" s="43">
        <v>184</v>
      </c>
      <c r="P14" s="31">
        <v>100</v>
      </c>
      <c r="Q14" s="31"/>
      <c r="R14" s="32"/>
      <c r="S14" s="33"/>
      <c r="T14" s="34"/>
      <c r="U14" s="34"/>
      <c r="V14" s="35">
        <f t="shared" si="8"/>
        <v>155313.9900511881</v>
      </c>
      <c r="W14" s="36">
        <f>V14/4+2941.7-1099</f>
        <v>40671.197512797022</v>
      </c>
      <c r="X14" s="37"/>
      <c r="Y14" s="36">
        <f t="shared" si="10"/>
        <v>38316.977512797028</v>
      </c>
      <c r="Z14" s="38">
        <f t="shared" si="11"/>
        <v>37497.977512797028</v>
      </c>
      <c r="AA14" s="36">
        <v>38828.497512797025</v>
      </c>
      <c r="AB14" s="39">
        <f t="shared" si="12"/>
        <v>760.29714285714283</v>
      </c>
      <c r="AC14" s="40">
        <f t="shared" si="13"/>
        <v>155314.65005118807</v>
      </c>
      <c r="AD14" s="38">
        <f t="shared" si="14"/>
        <v>-0.65999999997438863</v>
      </c>
    </row>
    <row r="15" spans="1:30" s="39" customFormat="1" ht="15.75" hidden="1" customHeight="1">
      <c r="A15" s="44">
        <v>8</v>
      </c>
      <c r="B15" s="26" t="s">
        <v>31</v>
      </c>
      <c r="C15" s="28">
        <f>'[1]Свод '!$J$13/1000</f>
        <v>13746.1794028856</v>
      </c>
      <c r="D15" s="28">
        <f t="shared" si="0"/>
        <v>742.29368775582248</v>
      </c>
      <c r="E15" s="28">
        <f t="shared" si="1"/>
        <v>433.00465119089648</v>
      </c>
      <c r="F15" s="28">
        <f t="shared" si="2"/>
        <v>274.92358805771204</v>
      </c>
      <c r="G15" s="29">
        <f>'[2]Свод '!$L$15</f>
        <v>243937.50348126108</v>
      </c>
      <c r="H15" s="29">
        <f t="shared" si="3"/>
        <v>3659.0625522189162</v>
      </c>
      <c r="I15" s="29">
        <f t="shared" si="4"/>
        <v>13172.625187988098</v>
      </c>
      <c r="J15" s="29">
        <f t="shared" si="5"/>
        <v>7684.0313596597252</v>
      </c>
      <c r="K15" s="29">
        <f t="shared" si="6"/>
        <v>4878.7500696252218</v>
      </c>
      <c r="L15" s="29">
        <f t="shared" si="7"/>
        <v>273331.97265075304</v>
      </c>
      <c r="M15" s="42">
        <f>[3]Лист2!$AC$15</f>
        <v>12608.712</v>
      </c>
      <c r="N15" s="45">
        <f>('[4] 151 свет 2'!$K$6+'[4] 151 свет 2'!$K$10+'[4] 151 свет 2'!$K$13)/1000</f>
        <v>4525.9374200000002</v>
      </c>
      <c r="O15" s="43">
        <f>284+276</f>
        <v>560</v>
      </c>
      <c r="P15" s="31"/>
      <c r="Q15" s="31"/>
      <c r="R15" s="46">
        <v>1573</v>
      </c>
      <c r="S15" s="33"/>
      <c r="T15" s="34"/>
      <c r="U15" s="34"/>
      <c r="V15" s="35">
        <f t="shared" si="8"/>
        <v>292599.62207075302</v>
      </c>
      <c r="W15" s="36">
        <f>V15/4+2941.7+2543.7</f>
        <v>78635.305517688248</v>
      </c>
      <c r="X15" s="37"/>
      <c r="Y15" s="36">
        <f t="shared" si="10"/>
        <v>70816.727517688254</v>
      </c>
      <c r="Z15" s="38">
        <f t="shared" si="11"/>
        <v>69997.727517688254</v>
      </c>
      <c r="AA15" s="36">
        <v>73149.905517688254</v>
      </c>
      <c r="AB15" s="39">
        <f t="shared" si="12"/>
        <v>1801.2445714285714</v>
      </c>
      <c r="AC15" s="40">
        <f t="shared" si="13"/>
        <v>292599.66607075301</v>
      </c>
      <c r="AD15" s="38">
        <f t="shared" si="14"/>
        <v>-4.3999999994412065E-2</v>
      </c>
    </row>
    <row r="16" spans="1:30" s="39" customFormat="1" ht="15.75" hidden="1" customHeight="1">
      <c r="A16" s="44">
        <v>9</v>
      </c>
      <c r="B16" s="26" t="s">
        <v>32</v>
      </c>
      <c r="C16" s="28">
        <f>'[1]Свод '!$J$15/1000</f>
        <v>7837.6380911145825</v>
      </c>
      <c r="D16" s="28">
        <f t="shared" si="0"/>
        <v>423.23245692018742</v>
      </c>
      <c r="E16" s="28">
        <f t="shared" si="1"/>
        <v>246.88559987010936</v>
      </c>
      <c r="F16" s="28">
        <f t="shared" si="2"/>
        <v>156.75276182229166</v>
      </c>
      <c r="G16" s="29">
        <f>'[2]Свод '!$L$17</f>
        <v>143416.25499934776</v>
      </c>
      <c r="H16" s="29">
        <f t="shared" si="3"/>
        <v>2151.2438249902161</v>
      </c>
      <c r="I16" s="29">
        <f t="shared" si="4"/>
        <v>7744.4777699647784</v>
      </c>
      <c r="J16" s="29">
        <f t="shared" si="5"/>
        <v>4517.6120324794547</v>
      </c>
      <c r="K16" s="29">
        <f t="shared" si="6"/>
        <v>2868.3250999869551</v>
      </c>
      <c r="L16" s="29">
        <f t="shared" si="7"/>
        <v>160697.91372676915</v>
      </c>
      <c r="M16" s="42">
        <f>[3]Лист2!$AC$17</f>
        <v>9939.68</v>
      </c>
      <c r="N16" s="43">
        <v>1261</v>
      </c>
      <c r="O16" s="43">
        <f>432+276</f>
        <v>708</v>
      </c>
      <c r="P16" s="31">
        <v>88</v>
      </c>
      <c r="Q16" s="31"/>
      <c r="R16" s="32">
        <f>12020*205/1000</f>
        <v>2464.1</v>
      </c>
      <c r="S16" s="33"/>
      <c r="T16" s="34"/>
      <c r="U16" s="34"/>
      <c r="V16" s="35">
        <f t="shared" si="8"/>
        <v>175158.69372676915</v>
      </c>
      <c r="W16" s="36">
        <f>V16/4+2941.7+1209.1</f>
        <v>47940.473431692284</v>
      </c>
      <c r="X16" s="37"/>
      <c r="Y16" s="36">
        <f t="shared" si="10"/>
        <v>42123.75343169229</v>
      </c>
      <c r="Z16" s="38">
        <f t="shared" si="11"/>
        <v>41304.75343169229</v>
      </c>
      <c r="AA16" s="36">
        <v>43789.673431692288</v>
      </c>
      <c r="AB16" s="39">
        <f t="shared" si="12"/>
        <v>1419.9542857142858</v>
      </c>
      <c r="AC16" s="40">
        <f t="shared" si="13"/>
        <v>175158.65372676915</v>
      </c>
      <c r="AD16" s="38">
        <f t="shared" si="14"/>
        <v>4.0000000008149073E-2</v>
      </c>
    </row>
    <row r="17" spans="1:30" s="39" customFormat="1" ht="15.75" hidden="1" customHeight="1">
      <c r="A17" s="44">
        <v>10</v>
      </c>
      <c r="B17" s="26" t="s">
        <v>33</v>
      </c>
      <c r="C17" s="28">
        <v>15765</v>
      </c>
      <c r="D17" s="28">
        <f t="shared" si="0"/>
        <v>851.31</v>
      </c>
      <c r="E17" s="28">
        <f t="shared" si="1"/>
        <v>496.59750000000003</v>
      </c>
      <c r="F17" s="28">
        <f t="shared" si="2"/>
        <v>315.3</v>
      </c>
      <c r="G17" s="29">
        <f>'[2]Свод '!$L$16</f>
        <v>273202.12036206259</v>
      </c>
      <c r="H17" s="29">
        <f t="shared" si="3"/>
        <v>4098.0318054309391</v>
      </c>
      <c r="I17" s="29">
        <f t="shared" si="4"/>
        <v>14752.914499551378</v>
      </c>
      <c r="J17" s="29">
        <f t="shared" si="5"/>
        <v>8605.8667914049711</v>
      </c>
      <c r="K17" s="29">
        <f t="shared" si="6"/>
        <v>5464.0424072412516</v>
      </c>
      <c r="L17" s="29">
        <f t="shared" si="7"/>
        <v>306122.97586569114</v>
      </c>
      <c r="M17" s="42">
        <f>[3]Лист2!$AC$18</f>
        <v>6796.16</v>
      </c>
      <c r="N17" s="43">
        <v>1395</v>
      </c>
      <c r="O17" s="43">
        <v>1238</v>
      </c>
      <c r="P17" s="31">
        <v>100</v>
      </c>
      <c r="Q17" s="31">
        <v>168</v>
      </c>
      <c r="R17" s="55">
        <v>2100</v>
      </c>
      <c r="S17" s="33"/>
      <c r="T17" s="34"/>
      <c r="U17" s="34"/>
      <c r="V17" s="35">
        <f t="shared" si="8"/>
        <v>317920.13586569112</v>
      </c>
      <c r="W17" s="36">
        <f>V17/4+2941.7-362.6</f>
        <v>82059.133966422771</v>
      </c>
      <c r="X17" s="37"/>
      <c r="Y17" s="36">
        <f t="shared" si="10"/>
        <v>78599.993966422786</v>
      </c>
      <c r="Z17" s="38">
        <f t="shared" si="11"/>
        <v>77780.993966422786</v>
      </c>
      <c r="AA17" s="36">
        <v>79480.033966422779</v>
      </c>
      <c r="AB17" s="39">
        <f t="shared" si="12"/>
        <v>970.88</v>
      </c>
      <c r="AC17" s="40">
        <f t="shared" si="13"/>
        <v>317920.15586569114</v>
      </c>
      <c r="AD17" s="38">
        <f t="shared" si="14"/>
        <v>-2.0000000018626451E-2</v>
      </c>
    </row>
    <row r="18" spans="1:30" s="39" customFormat="1" ht="15.75" hidden="1" customHeight="1">
      <c r="A18" s="44">
        <v>11</v>
      </c>
      <c r="B18" s="26" t="s">
        <v>34</v>
      </c>
      <c r="C18" s="28">
        <v>29225.200000000001</v>
      </c>
      <c r="D18" s="28">
        <f t="shared" si="0"/>
        <v>1578.1607999999999</v>
      </c>
      <c r="E18" s="28">
        <f t="shared" si="1"/>
        <v>920.5938000000001</v>
      </c>
      <c r="F18" s="28">
        <f t="shared" si="2"/>
        <v>584.50400000000002</v>
      </c>
      <c r="G18" s="29">
        <f>'[2]Свод '!$L$18</f>
        <v>445218.71532155998</v>
      </c>
      <c r="H18" s="29">
        <f t="shared" si="3"/>
        <v>6678.2807298233993</v>
      </c>
      <c r="I18" s="29">
        <f t="shared" si="4"/>
        <v>24041.810627364237</v>
      </c>
      <c r="J18" s="29">
        <f t="shared" si="5"/>
        <v>14024.38953262914</v>
      </c>
      <c r="K18" s="29">
        <f t="shared" si="6"/>
        <v>8904.3743064312002</v>
      </c>
      <c r="L18" s="29">
        <f t="shared" si="7"/>
        <v>498867.57051780802</v>
      </c>
      <c r="M18" s="42">
        <v>6443</v>
      </c>
      <c r="N18" s="53">
        <f>('[4] 151 свет 2'!$K$110+'[4] 151 свет 2'!$K$106)/1000</f>
        <v>3004.9920300000003</v>
      </c>
      <c r="O18" s="43">
        <f>2987+460</f>
        <v>3447</v>
      </c>
      <c r="P18" s="31">
        <v>870</v>
      </c>
      <c r="Q18" s="31">
        <v>170</v>
      </c>
      <c r="R18" s="32"/>
      <c r="S18" s="33"/>
      <c r="T18" s="34"/>
      <c r="U18" s="34"/>
      <c r="V18" s="35">
        <f t="shared" si="8"/>
        <v>512802.56254780805</v>
      </c>
      <c r="W18" s="36">
        <f>V18/4+2941.7-539.2</f>
        <v>130603.14063695203</v>
      </c>
      <c r="X18" s="37"/>
      <c r="Y18" s="36">
        <f t="shared" si="10"/>
        <v>127408.89063695201</v>
      </c>
      <c r="Z18" s="38">
        <f t="shared" si="11"/>
        <v>126589.89063695201</v>
      </c>
      <c r="AA18" s="36">
        <v>128200.64063695201</v>
      </c>
      <c r="AB18" s="39">
        <f t="shared" si="12"/>
        <v>920.42857142857144</v>
      </c>
      <c r="AC18" s="40">
        <f t="shared" si="13"/>
        <v>512802.56254780805</v>
      </c>
      <c r="AD18" s="38">
        <f t="shared" si="14"/>
        <v>0</v>
      </c>
    </row>
    <row r="19" spans="1:30" s="39" customFormat="1" ht="45.75" hidden="1" customHeight="1">
      <c r="A19" s="44">
        <v>12</v>
      </c>
      <c r="B19" s="92" t="s">
        <v>35</v>
      </c>
      <c r="C19" s="28">
        <f>'[1]Свод '!$J$17/1000</f>
        <v>15896.303081448099</v>
      </c>
      <c r="D19" s="28">
        <f t="shared" si="0"/>
        <v>858.40036639819732</v>
      </c>
      <c r="E19" s="28">
        <f t="shared" si="1"/>
        <v>500.7335470656152</v>
      </c>
      <c r="F19" s="28">
        <f t="shared" si="2"/>
        <v>317.92606162896197</v>
      </c>
      <c r="G19" s="47">
        <f>'[2]Свод '!$L$19</f>
        <v>270242.25558862003</v>
      </c>
      <c r="H19" s="47">
        <f t="shared" si="3"/>
        <v>4053.6338338293003</v>
      </c>
      <c r="I19" s="47">
        <f t="shared" si="4"/>
        <v>14593.081801785482</v>
      </c>
      <c r="J19" s="47">
        <f t="shared" si="5"/>
        <v>8512.6310510415315</v>
      </c>
      <c r="K19" s="47">
        <f t="shared" si="6"/>
        <v>5404.8451117724007</v>
      </c>
      <c r="L19" s="47">
        <f t="shared" si="7"/>
        <v>302806.4473870488</v>
      </c>
      <c r="M19" s="35">
        <v>11224</v>
      </c>
      <c r="N19" s="51">
        <v>4064</v>
      </c>
      <c r="O19" s="51">
        <v>3001</v>
      </c>
      <c r="P19" s="52">
        <v>640</v>
      </c>
      <c r="Q19" s="52">
        <v>190</v>
      </c>
      <c r="R19" s="93">
        <f>19079*205/1000</f>
        <v>3911.1950000000002</v>
      </c>
      <c r="S19" s="94"/>
      <c r="T19" s="95"/>
      <c r="U19" s="95"/>
      <c r="V19" s="35">
        <f t="shared" si="8"/>
        <v>325836.64238704881</v>
      </c>
      <c r="W19" s="48">
        <f>V19/4+4793</f>
        <v>86252.160596762202</v>
      </c>
      <c r="X19" s="96"/>
      <c r="Y19" s="48">
        <f t="shared" si="10"/>
        <v>79472.160596762202</v>
      </c>
      <c r="Z19" s="49">
        <f t="shared" si="11"/>
        <v>78653.160596762202</v>
      </c>
      <c r="AA19" s="48">
        <v>81459.160596762202</v>
      </c>
      <c r="AB19" s="39">
        <f t="shared" si="12"/>
        <v>1603.4285714285713</v>
      </c>
      <c r="AC19" s="40">
        <f t="shared" si="13"/>
        <v>325836.64238704881</v>
      </c>
      <c r="AD19" s="38">
        <f t="shared" si="14"/>
        <v>0</v>
      </c>
    </row>
    <row r="20" spans="1:30" s="39" customFormat="1" ht="15.75" hidden="1" customHeight="1">
      <c r="A20" s="44">
        <v>13</v>
      </c>
      <c r="B20" s="26" t="s">
        <v>36</v>
      </c>
      <c r="C20" s="28">
        <v>11082.2</v>
      </c>
      <c r="D20" s="28">
        <f t="shared" si="0"/>
        <v>598.43880000000001</v>
      </c>
      <c r="E20" s="28">
        <f t="shared" si="1"/>
        <v>349.08930000000009</v>
      </c>
      <c r="F20" s="28">
        <f t="shared" si="2"/>
        <v>221.64400000000001</v>
      </c>
      <c r="G20" s="29">
        <f>'[2]Свод '!$L$20</f>
        <v>191351.14729446004</v>
      </c>
      <c r="H20" s="29">
        <f t="shared" si="3"/>
        <v>2870.2672094169006</v>
      </c>
      <c r="I20" s="29">
        <f t="shared" si="4"/>
        <v>10332.961953900842</v>
      </c>
      <c r="J20" s="29">
        <f t="shared" si="5"/>
        <v>6027.5611397754919</v>
      </c>
      <c r="K20" s="29">
        <f t="shared" si="6"/>
        <v>3827.0229458892009</v>
      </c>
      <c r="L20" s="29">
        <f t="shared" si="7"/>
        <v>214408.96054344249</v>
      </c>
      <c r="M20" s="42">
        <v>4161</v>
      </c>
      <c r="N20" s="45">
        <f>('[4] 151 свет 2'!$K$17+'[4] 151 свет 2'!$K$21)/1000</f>
        <v>2278.8667999999998</v>
      </c>
      <c r="O20" s="43">
        <v>1247</v>
      </c>
      <c r="P20" s="31">
        <v>750</v>
      </c>
      <c r="Q20" s="31">
        <v>190</v>
      </c>
      <c r="R20" s="32"/>
      <c r="S20" s="33"/>
      <c r="T20" s="34"/>
      <c r="U20" s="34"/>
      <c r="V20" s="35">
        <f t="shared" si="8"/>
        <v>223035.82734344248</v>
      </c>
      <c r="W20" s="36">
        <f>V20/4+1261.5</f>
        <v>57020.456835860619</v>
      </c>
      <c r="X20" s="37"/>
      <c r="Y20" s="36">
        <f t="shared" si="10"/>
        <v>55537.706835860619</v>
      </c>
      <c r="Z20" s="38">
        <f t="shared" si="11"/>
        <v>54718.706835860619</v>
      </c>
      <c r="AA20" s="36">
        <v>55758.956835860619</v>
      </c>
      <c r="AB20" s="39">
        <f t="shared" si="12"/>
        <v>594.42857142857144</v>
      </c>
      <c r="AC20" s="40">
        <f t="shared" si="13"/>
        <v>223035.82734344248</v>
      </c>
      <c r="AD20" s="38">
        <f t="shared" si="14"/>
        <v>0</v>
      </c>
    </row>
    <row r="21" spans="1:30" s="39" customFormat="1" ht="15.75">
      <c r="A21" s="44">
        <v>14</v>
      </c>
      <c r="B21" s="26" t="s">
        <v>37</v>
      </c>
      <c r="C21" s="50">
        <f>'[1]Свод '!$J$20/1000</f>
        <v>5306.275801244974</v>
      </c>
      <c r="D21" s="50">
        <f t="shared" si="0"/>
        <v>286.53889326722856</v>
      </c>
      <c r="E21" s="50">
        <f t="shared" si="1"/>
        <v>167.14768773921671</v>
      </c>
      <c r="F21" s="50">
        <f t="shared" si="2"/>
        <v>106.12551602489948</v>
      </c>
      <c r="G21" s="29">
        <f>'[2]Свод '!$L$22</f>
        <v>95938.61046375001</v>
      </c>
      <c r="H21" s="29">
        <f t="shared" si="3"/>
        <v>1439.07915695625</v>
      </c>
      <c r="I21" s="47">
        <f t="shared" si="4"/>
        <v>5180.6849650425011</v>
      </c>
      <c r="J21" s="47">
        <f t="shared" si="5"/>
        <v>3022.0662296081259</v>
      </c>
      <c r="K21" s="47">
        <f t="shared" si="6"/>
        <v>1918.7722092750003</v>
      </c>
      <c r="L21" s="29">
        <f t="shared" si="7"/>
        <v>107499.2130246319</v>
      </c>
      <c r="M21" s="35">
        <f>[3]Лист2!$AC$19</f>
        <v>4733.6319999999996</v>
      </c>
      <c r="N21" s="51">
        <v>1058</v>
      </c>
      <c r="O21" s="51">
        <v>184</v>
      </c>
      <c r="P21" s="52">
        <v>150</v>
      </c>
      <c r="Q21" s="52"/>
      <c r="R21" s="32"/>
      <c r="S21" s="33"/>
      <c r="T21" s="34"/>
      <c r="U21" s="34"/>
      <c r="V21" s="35">
        <f t="shared" si="8"/>
        <v>113624.8450246319</v>
      </c>
      <c r="W21" s="36">
        <f>V21/4+1547.8</f>
        <v>29954.011256157974</v>
      </c>
      <c r="X21" s="37"/>
      <c r="Y21" s="36">
        <f t="shared" si="10"/>
        <v>28041.803256157975</v>
      </c>
      <c r="Z21" s="38">
        <f t="shared" si="11"/>
        <v>27222.803256157975</v>
      </c>
      <c r="AA21" s="36">
        <v>28406.211256157974</v>
      </c>
      <c r="AB21" s="39">
        <f t="shared" si="12"/>
        <v>676.23314285714275</v>
      </c>
      <c r="AC21" s="40">
        <f t="shared" si="13"/>
        <v>113624.82902463189</v>
      </c>
      <c r="AD21" s="38">
        <f t="shared" si="14"/>
        <v>1.6000000003259629E-2</v>
      </c>
    </row>
    <row r="22" spans="1:30" s="39" customFormat="1" ht="15.75" hidden="1" customHeight="1">
      <c r="A22" s="44">
        <v>15</v>
      </c>
      <c r="B22" s="26" t="s">
        <v>38</v>
      </c>
      <c r="C22" s="28">
        <f>'[1]Свод '!$J$19/1000</f>
        <v>7732.1278151980987</v>
      </c>
      <c r="D22" s="28">
        <f t="shared" si="0"/>
        <v>417.5349020206973</v>
      </c>
      <c r="E22" s="28">
        <f t="shared" si="1"/>
        <v>243.56202617874013</v>
      </c>
      <c r="F22" s="28">
        <f t="shared" si="2"/>
        <v>154.64255630396198</v>
      </c>
      <c r="G22" s="29">
        <f>'[2]Свод '!$L$21</f>
        <v>139905.25362652529</v>
      </c>
      <c r="H22" s="29">
        <f t="shared" si="3"/>
        <v>2098.5788043978791</v>
      </c>
      <c r="I22" s="29">
        <f t="shared" si="4"/>
        <v>7554.8836958323654</v>
      </c>
      <c r="J22" s="29">
        <f t="shared" si="5"/>
        <v>4407.0154892355467</v>
      </c>
      <c r="K22" s="29">
        <f t="shared" si="6"/>
        <v>2798.1050725305058</v>
      </c>
      <c r="L22" s="29">
        <f t="shared" si="7"/>
        <v>156763.83668852158</v>
      </c>
      <c r="M22" s="42">
        <f>[3]Лист2!$AC$20</f>
        <v>5612.7520000000004</v>
      </c>
      <c r="N22" s="53">
        <f>'[4] 151 свет 2'!$K$27/1000</f>
        <v>1057.6657700000001</v>
      </c>
      <c r="O22" s="43">
        <f>403.2+368</f>
        <v>771.2</v>
      </c>
      <c r="P22" s="52">
        <v>125</v>
      </c>
      <c r="Q22" s="52"/>
      <c r="R22" s="54">
        <f>3115*205/1000</f>
        <v>638.57500000000005</v>
      </c>
      <c r="S22" s="33"/>
      <c r="T22" s="34"/>
      <c r="U22" s="34"/>
      <c r="V22" s="35">
        <f t="shared" si="8"/>
        <v>164969.0294585216</v>
      </c>
      <c r="W22" s="36">
        <f>V22/4+1987.4</f>
        <v>43229.657364630402</v>
      </c>
      <c r="X22" s="37"/>
      <c r="Y22" s="36">
        <f t="shared" si="10"/>
        <v>40658.069364630399</v>
      </c>
      <c r="Z22" s="38">
        <f t="shared" si="11"/>
        <v>39839.069364630399</v>
      </c>
      <c r="AA22" s="36">
        <v>41242.257364630401</v>
      </c>
      <c r="AB22" s="39">
        <f t="shared" si="12"/>
        <v>801.82171428571439</v>
      </c>
      <c r="AC22" s="40">
        <f t="shared" si="13"/>
        <v>164969.05345852161</v>
      </c>
      <c r="AD22" s="38">
        <f t="shared" si="14"/>
        <v>-2.4000000004889444E-2</v>
      </c>
    </row>
    <row r="23" spans="1:30" s="39" customFormat="1" ht="15.75" hidden="1" customHeight="1">
      <c r="A23" s="44">
        <v>16</v>
      </c>
      <c r="B23" s="26" t="s">
        <v>39</v>
      </c>
      <c r="C23" s="28">
        <f>'[1]Свод '!$J$23/1000</f>
        <v>14444.194371994976</v>
      </c>
      <c r="D23" s="28">
        <f t="shared" si="0"/>
        <v>779.9864960877286</v>
      </c>
      <c r="E23" s="28">
        <f t="shared" si="1"/>
        <v>454.99212271784177</v>
      </c>
      <c r="F23" s="28">
        <f t="shared" si="2"/>
        <v>288.88388743989952</v>
      </c>
      <c r="G23" s="29">
        <f>'[2]Свод '!$L$25</f>
        <v>250010.33078068667</v>
      </c>
      <c r="H23" s="29">
        <f t="shared" si="3"/>
        <v>3750.1549617102996</v>
      </c>
      <c r="I23" s="29">
        <f t="shared" si="4"/>
        <v>13500.55786215708</v>
      </c>
      <c r="J23" s="29">
        <f t="shared" si="5"/>
        <v>7875.3254195916306</v>
      </c>
      <c r="K23" s="29">
        <f t="shared" si="6"/>
        <v>5000.2066156137334</v>
      </c>
      <c r="L23" s="29">
        <f t="shared" si="7"/>
        <v>280136.57563975937</v>
      </c>
      <c r="M23" s="42">
        <f>[3]Лист2!$AC$21</f>
        <v>6628.92</v>
      </c>
      <c r="N23" s="43">
        <v>2147</v>
      </c>
      <c r="O23" s="43">
        <f>600+284+276+92</f>
        <v>1252</v>
      </c>
      <c r="P23" s="52">
        <v>100</v>
      </c>
      <c r="Q23" s="52"/>
      <c r="R23" s="54">
        <v>1846</v>
      </c>
      <c r="S23" s="33"/>
      <c r="T23" s="34"/>
      <c r="U23" s="34"/>
      <c r="V23" s="35">
        <f t="shared" si="8"/>
        <v>292110.49563975935</v>
      </c>
      <c r="W23" s="36">
        <f>V23/4+2495.5</f>
        <v>75523.123909939837</v>
      </c>
      <c r="X23" s="37"/>
      <c r="Y23" s="36">
        <f t="shared" si="10"/>
        <v>72189.393909939841</v>
      </c>
      <c r="Z23" s="38">
        <f t="shared" si="11"/>
        <v>71370.393909939841</v>
      </c>
      <c r="AA23" s="36">
        <v>73027.623909939837</v>
      </c>
      <c r="AB23" s="39">
        <f t="shared" si="12"/>
        <v>946.98857142857139</v>
      </c>
      <c r="AC23" s="40">
        <f t="shared" si="13"/>
        <v>292110.53563975939</v>
      </c>
      <c r="AD23" s="38">
        <f t="shared" si="14"/>
        <v>-4.0000000037252903E-2</v>
      </c>
    </row>
    <row r="24" spans="1:30" s="39" customFormat="1" ht="15.75" hidden="1" customHeight="1">
      <c r="A24" s="44">
        <v>17</v>
      </c>
      <c r="B24" s="26" t="s">
        <v>40</v>
      </c>
      <c r="C24" s="28">
        <f>'[1]Свод '!$J$21/1000</f>
        <v>7141.3797636512872</v>
      </c>
      <c r="D24" s="28">
        <f t="shared" si="0"/>
        <v>385.63450723716949</v>
      </c>
      <c r="E24" s="28">
        <f t="shared" si="1"/>
        <v>224.95346255501559</v>
      </c>
      <c r="F24" s="28">
        <f t="shared" si="2"/>
        <v>142.82759527302574</v>
      </c>
      <c r="G24" s="29">
        <f>'[2]Свод '!$L$23</f>
        <v>109650.80325670597</v>
      </c>
      <c r="H24" s="29">
        <f t="shared" si="3"/>
        <v>1644.7620488505895</v>
      </c>
      <c r="I24" s="29">
        <f t="shared" si="4"/>
        <v>5921.1433758621224</v>
      </c>
      <c r="J24" s="29">
        <f t="shared" si="5"/>
        <v>3454.0003025862384</v>
      </c>
      <c r="K24" s="29">
        <f t="shared" si="6"/>
        <v>2193.0160651341193</v>
      </c>
      <c r="L24" s="29">
        <f t="shared" si="7"/>
        <v>122863.72504913904</v>
      </c>
      <c r="M24" s="42">
        <f>[3]Лист2!$AC$22</f>
        <v>6503.12</v>
      </c>
      <c r="N24" s="43">
        <v>1407</v>
      </c>
      <c r="O24" s="43">
        <f>806.4+368</f>
        <v>1174.4000000000001</v>
      </c>
      <c r="P24" s="52">
        <v>100</v>
      </c>
      <c r="Q24" s="52"/>
      <c r="R24" s="32"/>
      <c r="S24" s="33"/>
      <c r="T24" s="34"/>
      <c r="U24" s="34"/>
      <c r="V24" s="35">
        <f t="shared" si="8"/>
        <v>132048.24504913905</v>
      </c>
      <c r="W24" s="36">
        <f>V24/4+2432.6</f>
        <v>35444.661262284761</v>
      </c>
      <c r="X24" s="37"/>
      <c r="Y24" s="36">
        <f t="shared" si="10"/>
        <v>32205.28126228476</v>
      </c>
      <c r="Z24" s="38">
        <f t="shared" si="11"/>
        <v>31386.28126228476</v>
      </c>
      <c r="AA24" s="36">
        <v>33012.061262284762</v>
      </c>
      <c r="AB24" s="39">
        <f t="shared" si="12"/>
        <v>929.01714285714286</v>
      </c>
      <c r="AC24" s="40">
        <f t="shared" si="13"/>
        <v>132048.28504913903</v>
      </c>
      <c r="AD24" s="38">
        <f t="shared" si="14"/>
        <v>-3.9999999979045242E-2</v>
      </c>
    </row>
    <row r="25" spans="1:30" s="39" customFormat="1" ht="15.75" hidden="1" customHeight="1">
      <c r="A25" s="44">
        <v>18</v>
      </c>
      <c r="B25" s="26" t="s">
        <v>41</v>
      </c>
      <c r="C25" s="28">
        <f>'[1]Свод '!$J$22/1000</f>
        <v>6462.7369432606001</v>
      </c>
      <c r="D25" s="28">
        <f t="shared" si="0"/>
        <v>348.98779493607242</v>
      </c>
      <c r="E25" s="28">
        <f t="shared" si="1"/>
        <v>203.57621371270892</v>
      </c>
      <c r="F25" s="28">
        <f t="shared" si="2"/>
        <v>129.254738865212</v>
      </c>
      <c r="G25" s="29">
        <f>'[2]Свод '!$L$24</f>
        <v>128236.59578164615</v>
      </c>
      <c r="H25" s="29">
        <f t="shared" si="3"/>
        <v>1923.5489367246921</v>
      </c>
      <c r="I25" s="29">
        <f t="shared" si="4"/>
        <v>6924.7761722088917</v>
      </c>
      <c r="J25" s="29">
        <f t="shared" si="5"/>
        <v>4039.4527671218539</v>
      </c>
      <c r="K25" s="29">
        <f t="shared" si="6"/>
        <v>2564.7319156329231</v>
      </c>
      <c r="L25" s="29">
        <f t="shared" si="7"/>
        <v>143689.10557333453</v>
      </c>
      <c r="M25" s="42">
        <f>[3]Лист2!$AC$23</f>
        <v>2798.9760000000006</v>
      </c>
      <c r="N25" s="43">
        <v>500</v>
      </c>
      <c r="O25" s="43">
        <v>184</v>
      </c>
      <c r="P25" s="52">
        <v>100</v>
      </c>
      <c r="Q25" s="52"/>
      <c r="R25" s="32"/>
      <c r="S25" s="33"/>
      <c r="T25" s="34"/>
      <c r="U25" s="34"/>
      <c r="V25" s="35">
        <f t="shared" si="8"/>
        <v>147272.08157333452</v>
      </c>
      <c r="W25" s="36">
        <f>V25/4+580.5</f>
        <v>37398.520393333631</v>
      </c>
      <c r="X25" s="37"/>
      <c r="Y25" s="36">
        <f t="shared" si="10"/>
        <v>36937.276393333632</v>
      </c>
      <c r="Z25" s="38">
        <f t="shared" si="11"/>
        <v>36118.276393333632</v>
      </c>
      <c r="AA25" s="36">
        <v>36818.020393333631</v>
      </c>
      <c r="AB25" s="39">
        <f t="shared" si="12"/>
        <v>399.85371428571437</v>
      </c>
      <c r="AC25" s="40">
        <f t="shared" si="13"/>
        <v>147272.09357333451</v>
      </c>
      <c r="AD25" s="38">
        <f t="shared" si="14"/>
        <v>-1.1999999987892807E-2</v>
      </c>
    </row>
    <row r="26" spans="1:30" s="39" customFormat="1" ht="15.75" hidden="1" customHeight="1">
      <c r="A26" s="44">
        <v>19</v>
      </c>
      <c r="B26" s="26" t="s">
        <v>42</v>
      </c>
      <c r="C26" s="28">
        <f>'[1]Свод '!$J$24/1000</f>
        <v>9823.1824827918481</v>
      </c>
      <c r="D26" s="28">
        <f t="shared" si="0"/>
        <v>530.45185407075974</v>
      </c>
      <c r="E26" s="28">
        <f t="shared" si="1"/>
        <v>309.43024820794324</v>
      </c>
      <c r="F26" s="28">
        <f t="shared" si="2"/>
        <v>196.46364965583697</v>
      </c>
      <c r="G26" s="29">
        <f>'[2]Свод '!$L$26</f>
        <v>162405.29393733203</v>
      </c>
      <c r="H26" s="29">
        <f t="shared" si="3"/>
        <v>2436.0794090599802</v>
      </c>
      <c r="I26" s="29">
        <f t="shared" si="4"/>
        <v>8769.8858726159287</v>
      </c>
      <c r="J26" s="29">
        <f t="shared" si="5"/>
        <v>5115.7667590259589</v>
      </c>
      <c r="K26" s="29">
        <f t="shared" si="6"/>
        <v>3248.1058787466404</v>
      </c>
      <c r="L26" s="29">
        <f t="shared" si="7"/>
        <v>181975.13185678053</v>
      </c>
      <c r="M26" s="42">
        <f>[3]Лист2!$AC$24</f>
        <v>7059.6</v>
      </c>
      <c r="N26" s="43">
        <v>987</v>
      </c>
      <c r="O26" s="43">
        <f>483+355</f>
        <v>838</v>
      </c>
      <c r="P26" s="52">
        <v>75</v>
      </c>
      <c r="Q26" s="52"/>
      <c r="R26" s="32"/>
      <c r="S26" s="33"/>
      <c r="T26" s="34"/>
      <c r="U26" s="34"/>
      <c r="V26" s="35">
        <f t="shared" si="8"/>
        <v>190934.73185678053</v>
      </c>
      <c r="W26" s="36">
        <f>V26/4+2710.8</f>
        <v>50444.482964195136</v>
      </c>
      <c r="X26" s="37"/>
      <c r="Y26" s="36">
        <f t="shared" si="10"/>
        <v>46787.782964195132</v>
      </c>
      <c r="Z26" s="38">
        <f t="shared" si="11"/>
        <v>45968.782964195132</v>
      </c>
      <c r="AA26" s="36">
        <v>47733.682964195134</v>
      </c>
      <c r="AB26" s="39">
        <f t="shared" si="12"/>
        <v>1008.5142857142857</v>
      </c>
      <c r="AC26" s="40">
        <f t="shared" si="13"/>
        <v>190934.73185678053</v>
      </c>
      <c r="AD26" s="38">
        <f t="shared" si="14"/>
        <v>0</v>
      </c>
    </row>
    <row r="27" spans="1:30" s="39" customFormat="1" ht="15.75" hidden="1" customHeight="1">
      <c r="A27" s="44">
        <v>20</v>
      </c>
      <c r="B27" s="26" t="s">
        <v>43</v>
      </c>
      <c r="C27" s="28">
        <f>'[1]Свод '!$J$26/1000</f>
        <v>4381.3013616408089</v>
      </c>
      <c r="D27" s="28">
        <f t="shared" si="0"/>
        <v>236.59027352860369</v>
      </c>
      <c r="E27" s="28">
        <f t="shared" si="1"/>
        <v>138.0109928916855</v>
      </c>
      <c r="F27" s="28">
        <f t="shared" si="2"/>
        <v>87.626027232816185</v>
      </c>
      <c r="G27" s="29">
        <f>'[2]Свод '!$L$28</f>
        <v>72746.304123189184</v>
      </c>
      <c r="H27" s="29">
        <f t="shared" si="3"/>
        <v>1091.1945618478378</v>
      </c>
      <c r="I27" s="29">
        <f t="shared" si="4"/>
        <v>3928.3004226522157</v>
      </c>
      <c r="J27" s="29">
        <f t="shared" si="5"/>
        <v>2291.5085798804594</v>
      </c>
      <c r="K27" s="29">
        <f t="shared" si="6"/>
        <v>1454.9260824637838</v>
      </c>
      <c r="L27" s="29">
        <f t="shared" si="7"/>
        <v>81512.23377003349</v>
      </c>
      <c r="M27" s="42">
        <f>[3]Лист2!$AC$25</f>
        <v>3306.32</v>
      </c>
      <c r="N27" s="43">
        <v>1069</v>
      </c>
      <c r="O27" s="43">
        <f>360+184</f>
        <v>544</v>
      </c>
      <c r="P27" s="52">
        <v>150</v>
      </c>
      <c r="Q27" s="52"/>
      <c r="R27" s="32"/>
      <c r="S27" s="33"/>
      <c r="T27" s="34"/>
      <c r="U27" s="34"/>
      <c r="V27" s="35">
        <f t="shared" si="8"/>
        <v>86581.553770033497</v>
      </c>
      <c r="W27" s="36">
        <f>V27/4+834.1</f>
        <v>22479.488442508373</v>
      </c>
      <c r="X27" s="37"/>
      <c r="Y27" s="36">
        <f t="shared" si="10"/>
        <v>21637.808442508373</v>
      </c>
      <c r="Z27" s="38">
        <f t="shared" si="11"/>
        <v>20818.808442508373</v>
      </c>
      <c r="AA27" s="36">
        <v>21645.388442508374</v>
      </c>
      <c r="AB27" s="39">
        <f t="shared" si="12"/>
        <v>472.3314285714286</v>
      </c>
      <c r="AC27" s="40">
        <f t="shared" si="13"/>
        <v>86581.493770033499</v>
      </c>
      <c r="AD27" s="38">
        <f t="shared" si="14"/>
        <v>5.9999999997671694E-2</v>
      </c>
    </row>
    <row r="28" spans="1:30" s="39" customFormat="1" ht="15.75" hidden="1" customHeight="1">
      <c r="A28" s="44">
        <v>21</v>
      </c>
      <c r="B28" s="26" t="s">
        <v>44</v>
      </c>
      <c r="C28" s="28">
        <f>'[1]Свод '!$J$25/1000</f>
        <v>6848.2695907918487</v>
      </c>
      <c r="D28" s="28">
        <f t="shared" si="0"/>
        <v>369.80655790275978</v>
      </c>
      <c r="E28" s="28">
        <f t="shared" si="1"/>
        <v>215.72049210994325</v>
      </c>
      <c r="F28" s="28">
        <f t="shared" si="2"/>
        <v>136.96539181583697</v>
      </c>
      <c r="G28" s="29">
        <f>'[2]Свод '!$L$27</f>
        <v>127044.78590227796</v>
      </c>
      <c r="H28" s="29">
        <f t="shared" si="3"/>
        <v>1905.6717885341693</v>
      </c>
      <c r="I28" s="29">
        <f t="shared" si="4"/>
        <v>6860.4184387230098</v>
      </c>
      <c r="J28" s="29">
        <f t="shared" si="5"/>
        <v>4001.9107559217559</v>
      </c>
      <c r="K28" s="29">
        <f t="shared" si="6"/>
        <v>2540.8957180455591</v>
      </c>
      <c r="L28" s="29">
        <f t="shared" si="7"/>
        <v>142353.68260350247</v>
      </c>
      <c r="M28" s="42">
        <f>[3]Лист2!$AC$26</f>
        <v>3253.04</v>
      </c>
      <c r="N28" s="43">
        <v>450</v>
      </c>
      <c r="O28" s="43">
        <f>133+184</f>
        <v>317</v>
      </c>
      <c r="P28" s="52">
        <v>62.5</v>
      </c>
      <c r="Q28" s="52"/>
      <c r="R28" s="32"/>
      <c r="S28" s="33"/>
      <c r="T28" s="34"/>
      <c r="U28" s="34"/>
      <c r="V28" s="35">
        <f t="shared" si="8"/>
        <v>146436.22260350248</v>
      </c>
      <c r="W28" s="36">
        <f>V28/4+807.5</f>
        <v>37416.55565087562</v>
      </c>
      <c r="X28" s="37"/>
      <c r="Y28" s="36">
        <f t="shared" si="10"/>
        <v>36614.795650875618</v>
      </c>
      <c r="Z28" s="38">
        <f t="shared" si="11"/>
        <v>35795.795650875618</v>
      </c>
      <c r="AA28" s="36">
        <v>36609.05565087562</v>
      </c>
      <c r="AB28" s="39">
        <f t="shared" si="12"/>
        <v>464.71999999999997</v>
      </c>
      <c r="AC28" s="40">
        <f t="shared" si="13"/>
        <v>146436.20260350249</v>
      </c>
      <c r="AD28" s="38">
        <f t="shared" si="14"/>
        <v>1.9999999989522621E-2</v>
      </c>
    </row>
    <row r="29" spans="1:30" s="39" customFormat="1" ht="15.75" hidden="1" customHeight="1">
      <c r="A29" s="44">
        <v>22</v>
      </c>
      <c r="B29" s="26" t="s">
        <v>45</v>
      </c>
      <c r="C29" s="28">
        <f>'[1]Свод '!$J$31/1000</f>
        <v>7591.4033973699752</v>
      </c>
      <c r="D29" s="28">
        <f t="shared" si="0"/>
        <v>409.93578345797863</v>
      </c>
      <c r="E29" s="28">
        <f t="shared" si="1"/>
        <v>239.12920701715424</v>
      </c>
      <c r="F29" s="28">
        <f t="shared" si="2"/>
        <v>151.82806794739952</v>
      </c>
      <c r="G29" s="29">
        <f>'[2]Свод '!$L$33</f>
        <v>141375.70514991527</v>
      </c>
      <c r="H29" s="29">
        <f t="shared" si="3"/>
        <v>2120.6355772487291</v>
      </c>
      <c r="I29" s="29">
        <f t="shared" si="4"/>
        <v>7634.2880780954247</v>
      </c>
      <c r="J29" s="29">
        <f t="shared" si="5"/>
        <v>4453.3347122223313</v>
      </c>
      <c r="K29" s="29">
        <f t="shared" si="6"/>
        <v>2827.5141029983056</v>
      </c>
      <c r="L29" s="29">
        <f t="shared" si="7"/>
        <v>158411.47762048006</v>
      </c>
      <c r="M29" s="42">
        <f>[3]Лист2!$AC$27</f>
        <v>4768.8559999999998</v>
      </c>
      <c r="N29" s="43">
        <v>903</v>
      </c>
      <c r="O29" s="43">
        <f>1680+276</f>
        <v>1956</v>
      </c>
      <c r="P29" s="52">
        <v>125</v>
      </c>
      <c r="Q29" s="52"/>
      <c r="R29" s="55">
        <f>3937*205/1000</f>
        <v>807.08500000000004</v>
      </c>
      <c r="S29" s="33"/>
      <c r="T29" s="34"/>
      <c r="U29" s="34"/>
      <c r="V29" s="35">
        <f>L29+M29+N29+O29+P29+S29+R29+T29+U29+Q29</f>
        <v>166971.41862048005</v>
      </c>
      <c r="W29" s="36">
        <f>V29/4+1565.4</f>
        <v>43308.254655120014</v>
      </c>
      <c r="X29" s="37"/>
      <c r="Y29" s="36">
        <f t="shared" si="10"/>
        <v>41369.640655120013</v>
      </c>
      <c r="Z29" s="38">
        <f t="shared" si="11"/>
        <v>40550.640655120013</v>
      </c>
      <c r="AA29" s="36">
        <v>41742.854655120012</v>
      </c>
      <c r="AB29" s="39">
        <f t="shared" si="12"/>
        <v>681.26514285714279</v>
      </c>
      <c r="AC29" s="40">
        <f t="shared" si="13"/>
        <v>166971.39062048006</v>
      </c>
      <c r="AD29" s="38">
        <f t="shared" si="14"/>
        <v>2.7999999991152436E-2</v>
      </c>
    </row>
    <row r="30" spans="1:30" s="39" customFormat="1" ht="15.75" hidden="1" customHeight="1">
      <c r="A30" s="44">
        <v>23</v>
      </c>
      <c r="B30" s="26" t="s">
        <v>46</v>
      </c>
      <c r="C30" s="28">
        <f>'[1]Свод '!$J$27/1000</f>
        <v>8205.6325673637239</v>
      </c>
      <c r="D30" s="28">
        <f t="shared" si="0"/>
        <v>443.10415863764104</v>
      </c>
      <c r="E30" s="28">
        <f t="shared" si="1"/>
        <v>258.47742587195734</v>
      </c>
      <c r="F30" s="28">
        <f t="shared" si="2"/>
        <v>164.11265134727449</v>
      </c>
      <c r="G30" s="29">
        <f>'[2]Свод '!$L$29</f>
        <v>135413.95017797267</v>
      </c>
      <c r="H30" s="29">
        <f t="shared" si="3"/>
        <v>2031.2092526695899</v>
      </c>
      <c r="I30" s="29">
        <f t="shared" si="4"/>
        <v>7312.3533096105239</v>
      </c>
      <c r="J30" s="29">
        <f t="shared" si="5"/>
        <v>4265.5394306061389</v>
      </c>
      <c r="K30" s="29">
        <f t="shared" si="6"/>
        <v>2708.2790035594535</v>
      </c>
      <c r="L30" s="29">
        <f t="shared" si="7"/>
        <v>151731.33117441839</v>
      </c>
      <c r="M30" s="42">
        <f>[3]Лист2!$AC$28</f>
        <v>5524.2479999999996</v>
      </c>
      <c r="N30" s="43">
        <v>668</v>
      </c>
      <c r="O30" s="43">
        <f>600+276</f>
        <v>876</v>
      </c>
      <c r="P30" s="52">
        <v>62.5</v>
      </c>
      <c r="Q30" s="52"/>
      <c r="R30" s="32"/>
      <c r="S30" s="33"/>
      <c r="T30" s="34"/>
      <c r="U30" s="34"/>
      <c r="V30" s="35">
        <f t="shared" si="8"/>
        <v>158862.07917441838</v>
      </c>
      <c r="W30" s="36">
        <f>V30/4+1973.1</f>
        <v>41688.619793604594</v>
      </c>
      <c r="X30" s="37"/>
      <c r="Y30" s="36">
        <f t="shared" si="10"/>
        <v>39153.457793604597</v>
      </c>
      <c r="Z30" s="38">
        <f t="shared" si="11"/>
        <v>38334.457793604597</v>
      </c>
      <c r="AA30" s="36">
        <v>39715.519793604595</v>
      </c>
      <c r="AB30" s="39">
        <f t="shared" si="12"/>
        <v>789.17828571428561</v>
      </c>
      <c r="AC30" s="40">
        <f t="shared" si="13"/>
        <v>158892.05517441838</v>
      </c>
      <c r="AD30" s="38">
        <f t="shared" si="14"/>
        <v>-29.975999999995111</v>
      </c>
    </row>
    <row r="31" spans="1:30" s="39" customFormat="1" ht="15.75" hidden="1" customHeight="1">
      <c r="A31" s="44">
        <v>24</v>
      </c>
      <c r="B31" s="26" t="s">
        <v>47</v>
      </c>
      <c r="C31" s="28">
        <f>'[1]Свод '!$J$28/1000</f>
        <v>9770.7607949533067</v>
      </c>
      <c r="D31" s="28">
        <f t="shared" si="0"/>
        <v>527.62108292747848</v>
      </c>
      <c r="E31" s="28">
        <f t="shared" si="1"/>
        <v>307.77896504102915</v>
      </c>
      <c r="F31" s="28">
        <f t="shared" si="2"/>
        <v>195.41521589906614</v>
      </c>
      <c r="G31" s="29">
        <f>'[2]Свод '!$L$30</f>
        <v>168142.88349932511</v>
      </c>
      <c r="H31" s="29">
        <f t="shared" si="3"/>
        <v>2522.1432524898764</v>
      </c>
      <c r="I31" s="29">
        <f t="shared" si="4"/>
        <v>9079.7157089635566</v>
      </c>
      <c r="J31" s="29">
        <f t="shared" si="5"/>
        <v>5296.5008302287415</v>
      </c>
      <c r="K31" s="29">
        <f t="shared" si="6"/>
        <v>3362.8576699865021</v>
      </c>
      <c r="L31" s="29">
        <f t="shared" si="7"/>
        <v>188404.10096099376</v>
      </c>
      <c r="M31" s="42">
        <f>[3]Лист2!$AC$29</f>
        <v>2644.4639999999999</v>
      </c>
      <c r="N31" s="43">
        <v>1098</v>
      </c>
      <c r="O31" s="43">
        <f>1120.2+276</f>
        <v>1396.2</v>
      </c>
      <c r="P31" s="52">
        <v>62.5</v>
      </c>
      <c r="Q31" s="52"/>
      <c r="R31" s="32"/>
      <c r="S31" s="33"/>
      <c r="T31" s="34"/>
      <c r="U31" s="34"/>
      <c r="V31" s="35">
        <f t="shared" si="8"/>
        <v>193605.26496099378</v>
      </c>
      <c r="W31" s="36">
        <f>V31/4+503.2</f>
        <v>48904.516240248442</v>
      </c>
      <c r="X31" s="37"/>
      <c r="Y31" s="36">
        <f t="shared" si="10"/>
        <v>48559.200240248443</v>
      </c>
      <c r="Z31" s="38">
        <f t="shared" si="11"/>
        <v>47740.200240248443</v>
      </c>
      <c r="AA31" s="36">
        <v>48401.316240248445</v>
      </c>
      <c r="AB31" s="39">
        <f t="shared" si="12"/>
        <v>377.78057142857142</v>
      </c>
      <c r="AC31" s="40">
        <f t="shared" si="13"/>
        <v>193605.23296099377</v>
      </c>
      <c r="AD31" s="38">
        <f t="shared" si="14"/>
        <v>3.2000000006519258E-2</v>
      </c>
    </row>
    <row r="32" spans="1:30" s="39" customFormat="1" ht="15.75" hidden="1" customHeight="1">
      <c r="A32" s="44">
        <v>25</v>
      </c>
      <c r="B32" s="26" t="s">
        <v>48</v>
      </c>
      <c r="C32" s="28">
        <f>'[1]Свод '!$J$32/1000</f>
        <v>6678.4900416564324</v>
      </c>
      <c r="D32" s="28">
        <f t="shared" si="0"/>
        <v>360.63846224944734</v>
      </c>
      <c r="E32" s="28">
        <f t="shared" si="1"/>
        <v>210.37243631217763</v>
      </c>
      <c r="F32" s="28">
        <f t="shared" si="2"/>
        <v>133.56980083312865</v>
      </c>
      <c r="G32" s="29">
        <f>'[2]Свод '!$L$34</f>
        <v>131368.25488215114</v>
      </c>
      <c r="H32" s="29">
        <f t="shared" si="3"/>
        <v>1970.5238232322672</v>
      </c>
      <c r="I32" s="29">
        <f t="shared" si="4"/>
        <v>7093.8857636361618</v>
      </c>
      <c r="J32" s="29">
        <f t="shared" si="5"/>
        <v>4138.1000287877614</v>
      </c>
      <c r="K32" s="29">
        <f t="shared" si="6"/>
        <v>2627.3650976430231</v>
      </c>
      <c r="L32" s="29">
        <f t="shared" si="7"/>
        <v>147198.12959545036</v>
      </c>
      <c r="M32" s="42">
        <f>[3]Лист2!$AC$30</f>
        <v>9072.4</v>
      </c>
      <c r="N32" s="43">
        <v>887</v>
      </c>
      <c r="O32" s="43">
        <f>840+276</f>
        <v>1116</v>
      </c>
      <c r="P32" s="52">
        <v>62.5</v>
      </c>
      <c r="Q32" s="52"/>
      <c r="R32" s="32"/>
      <c r="S32" s="33"/>
      <c r="T32" s="34"/>
      <c r="U32" s="34"/>
      <c r="V32" s="35">
        <f>L32+M32+N32+O32+P32+S32+R32+T32+U32+Q32</f>
        <v>158336.02959545035</v>
      </c>
      <c r="W32" s="36">
        <f>V32/4+3717.2</f>
        <v>43301.207398862585</v>
      </c>
      <c r="X32" s="37"/>
      <c r="Y32" s="36">
        <f t="shared" si="10"/>
        <v>38134.90739886259</v>
      </c>
      <c r="Z32" s="38">
        <f t="shared" si="11"/>
        <v>37315.90739886259</v>
      </c>
      <c r="AA32" s="36">
        <v>39584.007398862588</v>
      </c>
      <c r="AB32" s="39">
        <f t="shared" si="12"/>
        <v>1296.0571428571427</v>
      </c>
      <c r="AC32" s="40">
        <f t="shared" si="13"/>
        <v>158336.02959545035</v>
      </c>
      <c r="AD32" s="38">
        <f t="shared" si="14"/>
        <v>0</v>
      </c>
    </row>
    <row r="33" spans="1:30" s="39" customFormat="1" ht="15.75" hidden="1" customHeight="1">
      <c r="A33" s="44">
        <v>26</v>
      </c>
      <c r="B33" s="26" t="s">
        <v>49</v>
      </c>
      <c r="C33" s="28">
        <f>'[1]Свод '!$J$29/1000</f>
        <v>10489.088921817891</v>
      </c>
      <c r="D33" s="28">
        <f t="shared" si="0"/>
        <v>566.41080177816605</v>
      </c>
      <c r="E33" s="28">
        <f t="shared" si="1"/>
        <v>330.40630103726357</v>
      </c>
      <c r="F33" s="28">
        <f t="shared" si="2"/>
        <v>209.78177843635783</v>
      </c>
      <c r="G33" s="29">
        <f>'[2]Свод '!$L$31</f>
        <v>189539.97706085307</v>
      </c>
      <c r="H33" s="29">
        <f t="shared" si="3"/>
        <v>2843.0996559127957</v>
      </c>
      <c r="I33" s="29">
        <f t="shared" si="4"/>
        <v>10235.158761286066</v>
      </c>
      <c r="J33" s="29">
        <f t="shared" si="5"/>
        <v>5970.5092774168725</v>
      </c>
      <c r="K33" s="29">
        <f t="shared" si="6"/>
        <v>3790.7995412170612</v>
      </c>
      <c r="L33" s="29">
        <f t="shared" si="7"/>
        <v>212379.54429668584</v>
      </c>
      <c r="M33" s="42">
        <f>[3]Лист2!$AC$31</f>
        <v>3895.36</v>
      </c>
      <c r="N33" s="43">
        <v>1807</v>
      </c>
      <c r="O33" s="43">
        <f>1283.4+276</f>
        <v>1559.4</v>
      </c>
      <c r="P33" s="52">
        <v>100</v>
      </c>
      <c r="Q33" s="52">
        <v>145</v>
      </c>
      <c r="R33" s="32">
        <f>1712*205/1000</f>
        <v>350.96</v>
      </c>
      <c r="S33" s="33"/>
      <c r="T33" s="34"/>
      <c r="U33" s="34"/>
      <c r="V33" s="35">
        <f>L33+M33+N33+O33+P33+S33+R33+T33+U33+Q33</f>
        <v>220237.26429668581</v>
      </c>
      <c r="W33" s="36">
        <f>V33/4+1128.7</f>
        <v>56188.01607417145</v>
      </c>
      <c r="X33" s="37"/>
      <c r="Y33" s="36">
        <f t="shared" si="10"/>
        <v>54904.476074171456</v>
      </c>
      <c r="Z33" s="38">
        <f t="shared" si="11"/>
        <v>54085.476074171456</v>
      </c>
      <c r="AA33" s="36">
        <v>55059.316074171453</v>
      </c>
      <c r="AB33" s="39">
        <f t="shared" si="12"/>
        <v>556.48</v>
      </c>
      <c r="AC33" s="40">
        <f t="shared" si="13"/>
        <v>220237.28429668583</v>
      </c>
      <c r="AD33" s="38">
        <f t="shared" si="14"/>
        <v>-2.0000000018626451E-2</v>
      </c>
    </row>
    <row r="34" spans="1:30" s="39" customFormat="1" ht="15.75" hidden="1" customHeight="1">
      <c r="A34" s="44">
        <v>27</v>
      </c>
      <c r="B34" s="26" t="s">
        <v>50</v>
      </c>
      <c r="C34" s="28">
        <f>'[1]Свод '!$J$30/1000</f>
        <v>6201.4422744585163</v>
      </c>
      <c r="D34" s="28">
        <f t="shared" si="0"/>
        <v>334.87788282075991</v>
      </c>
      <c r="E34" s="28">
        <f t="shared" si="1"/>
        <v>195.34543164544328</v>
      </c>
      <c r="F34" s="28">
        <f t="shared" si="2"/>
        <v>124.02884548917032</v>
      </c>
      <c r="G34" s="29">
        <f>'[2]Свод '!$L$32</f>
        <v>81472.503355691006</v>
      </c>
      <c r="H34" s="29">
        <f t="shared" si="3"/>
        <v>1222.087550335365</v>
      </c>
      <c r="I34" s="29">
        <f t="shared" si="4"/>
        <v>4399.5151812073145</v>
      </c>
      <c r="J34" s="29">
        <f t="shared" si="5"/>
        <v>2566.3838557042668</v>
      </c>
      <c r="K34" s="29">
        <f t="shared" si="6"/>
        <v>1629.4500671138201</v>
      </c>
      <c r="L34" s="29">
        <f t="shared" si="7"/>
        <v>91289.940010051767</v>
      </c>
      <c r="M34" s="42">
        <f>[3]Лист2!$AC$32</f>
        <v>10253.44</v>
      </c>
      <c r="N34" s="43">
        <v>640</v>
      </c>
      <c r="O34" s="43">
        <v>276</v>
      </c>
      <c r="P34" s="52">
        <v>150</v>
      </c>
      <c r="Q34" s="52"/>
      <c r="R34" s="32"/>
      <c r="S34" s="33"/>
      <c r="T34" s="34"/>
      <c r="U34" s="34"/>
      <c r="V34" s="35">
        <f>L34+M34+N34+O34+P34+S34+R34+T34+U34+Q34</f>
        <v>102609.38001005177</v>
      </c>
      <c r="W34" s="36">
        <f>V34/4+4307.7</f>
        <v>29960.045002512943</v>
      </c>
      <c r="X34" s="37"/>
      <c r="Y34" s="36">
        <f t="shared" si="10"/>
        <v>23907.985002512942</v>
      </c>
      <c r="Z34" s="38">
        <f t="shared" si="11"/>
        <v>23088.985002512942</v>
      </c>
      <c r="AA34" s="36">
        <v>25652.345002512942</v>
      </c>
      <c r="AB34" s="39">
        <f t="shared" si="12"/>
        <v>1464.777142857143</v>
      </c>
      <c r="AC34" s="40">
        <f t="shared" si="13"/>
        <v>102609.36001005177</v>
      </c>
      <c r="AD34" s="38">
        <f t="shared" si="14"/>
        <v>2.0000000004074536E-2</v>
      </c>
    </row>
    <row r="35" spans="1:30" s="39" customFormat="1" ht="15.75" hidden="1" customHeight="1">
      <c r="A35" s="44">
        <v>28</v>
      </c>
      <c r="B35" s="26" t="s">
        <v>51</v>
      </c>
      <c r="C35" s="28">
        <v>16253</v>
      </c>
      <c r="D35" s="28">
        <f t="shared" si="0"/>
        <v>877.66200000000003</v>
      </c>
      <c r="E35" s="28">
        <f t="shared" si="1"/>
        <v>511.9695000000001</v>
      </c>
      <c r="F35" s="28">
        <f t="shared" si="2"/>
        <v>325.06</v>
      </c>
      <c r="G35" s="29">
        <f>'[2]Свод '!$L$35</f>
        <v>296118.20393229136</v>
      </c>
      <c r="H35" s="29">
        <f t="shared" si="3"/>
        <v>4441.7730589843704</v>
      </c>
      <c r="I35" s="29">
        <f t="shared" si="4"/>
        <v>15990.383012343733</v>
      </c>
      <c r="J35" s="29">
        <f t="shared" si="5"/>
        <v>9327.723423867179</v>
      </c>
      <c r="K35" s="29">
        <f t="shared" si="6"/>
        <v>5922.3640786458272</v>
      </c>
      <c r="L35" s="29">
        <f t="shared" si="7"/>
        <v>331800.44750613248</v>
      </c>
      <c r="M35" s="42">
        <f>[3]Лист2!$AC$33</f>
        <v>7772.96</v>
      </c>
      <c r="N35" s="53">
        <v>2195</v>
      </c>
      <c r="O35" s="43">
        <v>948</v>
      </c>
      <c r="P35" s="31">
        <v>187.5</v>
      </c>
      <c r="Q35" s="31">
        <v>189</v>
      </c>
      <c r="R35" s="32"/>
      <c r="S35" s="33"/>
      <c r="T35" s="34"/>
      <c r="U35" s="34"/>
      <c r="V35" s="35">
        <f t="shared" si="8"/>
        <v>343092.9075061325</v>
      </c>
      <c r="W35" s="36">
        <f>V35/4+3067.5</f>
        <v>88840.726876533125</v>
      </c>
      <c r="X35" s="37"/>
      <c r="Y35" s="36">
        <f t="shared" si="10"/>
        <v>84648.986876533119</v>
      </c>
      <c r="Z35" s="38">
        <f t="shared" si="11"/>
        <v>83829.986876533119</v>
      </c>
      <c r="AA35" s="36">
        <v>85773.226876533125</v>
      </c>
      <c r="AB35" s="39">
        <f t="shared" si="12"/>
        <v>1110.4228571428571</v>
      </c>
      <c r="AC35" s="40">
        <f t="shared" si="13"/>
        <v>343092.92750613252</v>
      </c>
      <c r="AD35" s="38">
        <f t="shared" si="14"/>
        <v>-2.0000000018626451E-2</v>
      </c>
    </row>
    <row r="36" spans="1:30" s="39" customFormat="1" ht="15.75" hidden="1" customHeight="1">
      <c r="A36" s="44">
        <v>29</v>
      </c>
      <c r="B36" s="26" t="s">
        <v>52</v>
      </c>
      <c r="C36" s="28">
        <f>'[1]Свод '!$J$34/1000</f>
        <v>6468.2395284918512</v>
      </c>
      <c r="D36" s="28">
        <f t="shared" si="0"/>
        <v>349.28493453855998</v>
      </c>
      <c r="E36" s="28">
        <f t="shared" si="1"/>
        <v>203.74954514749334</v>
      </c>
      <c r="F36" s="28">
        <f t="shared" si="2"/>
        <v>129.36479056983703</v>
      </c>
      <c r="G36" s="29">
        <f>'[2]Свод '!$L$36</f>
        <v>106605.5672405169</v>
      </c>
      <c r="H36" s="29">
        <f t="shared" si="3"/>
        <v>1599.0835086077534</v>
      </c>
      <c r="I36" s="29">
        <f t="shared" si="4"/>
        <v>5756.7006309879125</v>
      </c>
      <c r="J36" s="29">
        <f t="shared" si="5"/>
        <v>3358.0753680762823</v>
      </c>
      <c r="K36" s="29">
        <f t="shared" si="6"/>
        <v>2132.1113448103379</v>
      </c>
      <c r="L36" s="29">
        <f t="shared" si="7"/>
        <v>119451.5380929992</v>
      </c>
      <c r="M36" s="42">
        <f>[3]Лист2!$AC$34</f>
        <v>2617.232</v>
      </c>
      <c r="N36" s="43">
        <v>2444</v>
      </c>
      <c r="O36" s="43">
        <f>493+92+92</f>
        <v>677</v>
      </c>
      <c r="P36" s="31">
        <v>62.5</v>
      </c>
      <c r="Q36" s="31"/>
      <c r="R36" s="32"/>
      <c r="S36" s="33"/>
      <c r="T36" s="34"/>
      <c r="U36" s="34"/>
      <c r="V36" s="35">
        <f>L36+M36+N36+O36+P36+S36+R36+T36+U36+Q36</f>
        <v>125252.2700929992</v>
      </c>
      <c r="W36" s="36">
        <f>V36/4+489.6</f>
        <v>31802.667523249798</v>
      </c>
      <c r="X36" s="37"/>
      <c r="Y36" s="36">
        <f t="shared" si="10"/>
        <v>31477.759523249799</v>
      </c>
      <c r="Z36" s="38">
        <f t="shared" si="11"/>
        <v>30658.759523249799</v>
      </c>
      <c r="AA36" s="36">
        <v>31313.0675232498</v>
      </c>
      <c r="AB36" s="39">
        <f t="shared" si="12"/>
        <v>373.89028571428571</v>
      </c>
      <c r="AC36" s="40">
        <f t="shared" si="13"/>
        <v>125252.2540929992</v>
      </c>
      <c r="AD36" s="38">
        <f t="shared" si="14"/>
        <v>1.6000000003259629E-2</v>
      </c>
    </row>
    <row r="37" spans="1:30" s="39" customFormat="1" ht="15.75" hidden="1" customHeight="1">
      <c r="A37" s="44">
        <v>30</v>
      </c>
      <c r="B37" s="26" t="s">
        <v>53</v>
      </c>
      <c r="C37" s="28">
        <f>'[1]Свод '!$J$36/1000</f>
        <v>4405.815049957946</v>
      </c>
      <c r="D37" s="28">
        <f t="shared" si="0"/>
        <v>237.91401269772908</v>
      </c>
      <c r="E37" s="28">
        <f t="shared" si="1"/>
        <v>138.78317407367533</v>
      </c>
      <c r="F37" s="28">
        <f t="shared" si="2"/>
        <v>88.116300999158923</v>
      </c>
      <c r="G37" s="29">
        <f>'[2]Свод '!$L$38</f>
        <v>77641.487982677994</v>
      </c>
      <c r="H37" s="29">
        <f t="shared" si="3"/>
        <v>1164.6223197401698</v>
      </c>
      <c r="I37" s="29">
        <f t="shared" si="4"/>
        <v>4192.6403510646123</v>
      </c>
      <c r="J37" s="29">
        <f t="shared" si="5"/>
        <v>2445.706871454357</v>
      </c>
      <c r="K37" s="29">
        <f t="shared" si="6"/>
        <v>1552.8297596535599</v>
      </c>
      <c r="L37" s="29">
        <f t="shared" si="7"/>
        <v>86997.287284590697</v>
      </c>
      <c r="M37" s="42">
        <f>[3]Лист2!$AC$35</f>
        <v>5905.2</v>
      </c>
      <c r="N37" s="43">
        <v>834</v>
      </c>
      <c r="O37" s="43">
        <v>276</v>
      </c>
      <c r="P37" s="31">
        <v>150</v>
      </c>
      <c r="Q37" s="31">
        <v>145</v>
      </c>
      <c r="R37" s="32"/>
      <c r="S37" s="33"/>
      <c r="T37" s="34"/>
      <c r="U37" s="34"/>
      <c r="V37" s="35">
        <f t="shared" ref="V37:V68" si="15">L37+M37+N37+O37+P37+S37+R37+T37+U37+Q37</f>
        <v>94307.487284590694</v>
      </c>
      <c r="W37" s="36">
        <f>V37/4+2133.6</f>
        <v>25710.471821147672</v>
      </c>
      <c r="X37" s="37"/>
      <c r="Y37" s="36">
        <f t="shared" si="10"/>
        <v>22919.571821147674</v>
      </c>
      <c r="Z37" s="38">
        <f t="shared" si="11"/>
        <v>22100.571821147674</v>
      </c>
      <c r="AA37" s="36">
        <v>23576.871821147673</v>
      </c>
      <c r="AB37" s="39">
        <f t="shared" si="12"/>
        <v>843.6</v>
      </c>
      <c r="AC37" s="40">
        <f t="shared" si="13"/>
        <v>94307.487284590694</v>
      </c>
      <c r="AD37" s="38">
        <f t="shared" si="14"/>
        <v>0</v>
      </c>
    </row>
    <row r="38" spans="1:30" s="39" customFormat="1" ht="15.75" hidden="1" customHeight="1">
      <c r="A38" s="44">
        <v>31</v>
      </c>
      <c r="B38" s="26" t="s">
        <v>54</v>
      </c>
      <c r="C38" s="28">
        <f>'[1]Свод '!$J$35/1000</f>
        <v>3807.9689260522664</v>
      </c>
      <c r="D38" s="28">
        <f t="shared" si="0"/>
        <v>205.63032200682238</v>
      </c>
      <c r="E38" s="28">
        <f t="shared" si="1"/>
        <v>119.9510211706464</v>
      </c>
      <c r="F38" s="28">
        <f t="shared" si="2"/>
        <v>76.159378521045326</v>
      </c>
      <c r="G38" s="29">
        <f>'[2]Свод '!$L$37</f>
        <v>96158.287223941137</v>
      </c>
      <c r="H38" s="29">
        <f t="shared" si="3"/>
        <v>1442.3743083591171</v>
      </c>
      <c r="I38" s="29">
        <f t="shared" si="4"/>
        <v>5192.5475100928215</v>
      </c>
      <c r="J38" s="29">
        <f t="shared" si="5"/>
        <v>3028.9860475541459</v>
      </c>
      <c r="K38" s="29">
        <f t="shared" si="6"/>
        <v>1923.1657444788227</v>
      </c>
      <c r="L38" s="29">
        <f t="shared" si="7"/>
        <v>107745.36083442604</v>
      </c>
      <c r="M38" s="42">
        <f>[3]Лист2!$AC$36</f>
        <v>5082.3200000000006</v>
      </c>
      <c r="N38" s="43">
        <v>316</v>
      </c>
      <c r="O38" s="43">
        <v>184</v>
      </c>
      <c r="P38" s="31">
        <v>62.5</v>
      </c>
      <c r="Q38" s="31"/>
      <c r="R38" s="32"/>
      <c r="S38" s="33"/>
      <c r="T38" s="34"/>
      <c r="U38" s="34"/>
      <c r="V38" s="35">
        <f t="shared" si="15"/>
        <v>113390.18083442605</v>
      </c>
      <c r="W38" s="36">
        <f>V38/4+1722.2</f>
        <v>30069.745208606513</v>
      </c>
      <c r="X38" s="37"/>
      <c r="Y38" s="36">
        <f t="shared" si="10"/>
        <v>27895.965208606511</v>
      </c>
      <c r="Z38" s="38">
        <f t="shared" si="11"/>
        <v>27076.965208606511</v>
      </c>
      <c r="AA38" s="36">
        <v>28347.545208606512</v>
      </c>
      <c r="AB38" s="39">
        <f t="shared" si="12"/>
        <v>726.04571428571433</v>
      </c>
      <c r="AC38" s="40">
        <f t="shared" si="13"/>
        <v>113390.22083442606</v>
      </c>
      <c r="AD38" s="38">
        <f t="shared" si="14"/>
        <v>-4.0000000008149073E-2</v>
      </c>
    </row>
    <row r="39" spans="1:30" s="39" customFormat="1" ht="15.75" hidden="1" customHeight="1">
      <c r="A39" s="44">
        <v>32</v>
      </c>
      <c r="B39" s="26" t="s">
        <v>55</v>
      </c>
      <c r="C39" s="28">
        <f>'[1]Свод '!$J$39/1000</f>
        <v>7587.0912818296629</v>
      </c>
      <c r="D39" s="28">
        <f t="shared" si="0"/>
        <v>409.70292921880178</v>
      </c>
      <c r="E39" s="28">
        <f t="shared" si="1"/>
        <v>238.99337537763441</v>
      </c>
      <c r="F39" s="28">
        <f t="shared" si="2"/>
        <v>151.74182563659326</v>
      </c>
      <c r="G39" s="29">
        <f>'[2]Свод '!$L$14</f>
        <v>124853.01085135585</v>
      </c>
      <c r="H39" s="29">
        <f t="shared" si="3"/>
        <v>1872.7951627703378</v>
      </c>
      <c r="I39" s="29">
        <f t="shared" si="4"/>
        <v>6742.0625859732163</v>
      </c>
      <c r="J39" s="29">
        <f t="shared" si="5"/>
        <v>3932.86984181771</v>
      </c>
      <c r="K39" s="29">
        <f t="shared" si="6"/>
        <v>2497.0602170271172</v>
      </c>
      <c r="L39" s="29">
        <f t="shared" si="7"/>
        <v>139897.79865894423</v>
      </c>
      <c r="M39" s="42">
        <f>[3]Лист2!$AC$37</f>
        <v>6914.56</v>
      </c>
      <c r="N39" s="43">
        <v>505</v>
      </c>
      <c r="O39" s="43">
        <f>208.2+276</f>
        <v>484.2</v>
      </c>
      <c r="P39" s="31"/>
      <c r="Q39" s="31">
        <v>145</v>
      </c>
      <c r="R39" s="32"/>
      <c r="S39" s="33"/>
      <c r="T39" s="34"/>
      <c r="U39" s="34"/>
      <c r="V39" s="35">
        <f t="shared" si="15"/>
        <v>147946.55865894424</v>
      </c>
      <c r="W39" s="36">
        <f>V39/4+2638.3</f>
        <v>39624.939664736063</v>
      </c>
      <c r="X39" s="37"/>
      <c r="Y39" s="36">
        <f t="shared" si="10"/>
        <v>36076.99966473606</v>
      </c>
      <c r="Z39" s="38">
        <f t="shared" si="11"/>
        <v>35257.99966473606</v>
      </c>
      <c r="AA39" s="36">
        <v>36986.63966473606</v>
      </c>
      <c r="AB39" s="39">
        <f t="shared" si="12"/>
        <v>987.79428571428582</v>
      </c>
      <c r="AC39" s="40">
        <f t="shared" si="13"/>
        <v>147946.57865894423</v>
      </c>
      <c r="AD39" s="38">
        <f t="shared" si="14"/>
        <v>-1.9999999989522621E-2</v>
      </c>
    </row>
    <row r="40" spans="1:30" s="39" customFormat="1" ht="15.75" hidden="1" customHeight="1">
      <c r="A40" s="44">
        <v>33</v>
      </c>
      <c r="B40" s="26" t="s">
        <v>56</v>
      </c>
      <c r="C40" s="28">
        <f>'[1]Свод '!$J$38/1000</f>
        <v>4116.4666800585164</v>
      </c>
      <c r="D40" s="28">
        <f t="shared" si="0"/>
        <v>222.28920072315989</v>
      </c>
      <c r="E40" s="28">
        <f t="shared" si="1"/>
        <v>129.66870042184328</v>
      </c>
      <c r="F40" s="28">
        <f t="shared" si="2"/>
        <v>82.329333601170333</v>
      </c>
      <c r="G40" s="29">
        <f>'[2]Свод '!$L$40</f>
        <v>64656.239018170148</v>
      </c>
      <c r="H40" s="29">
        <f t="shared" si="3"/>
        <v>969.84358527255222</v>
      </c>
      <c r="I40" s="29">
        <f t="shared" si="4"/>
        <v>3491.4369069811878</v>
      </c>
      <c r="J40" s="29">
        <f t="shared" si="5"/>
        <v>2036.6715290723598</v>
      </c>
      <c r="K40" s="29">
        <f t="shared" si="6"/>
        <v>1293.124780363403</v>
      </c>
      <c r="L40" s="29">
        <f t="shared" si="7"/>
        <v>72447.315819859665</v>
      </c>
      <c r="M40" s="42">
        <f>[3]Лист2!$AC$38</f>
        <v>7624.96</v>
      </c>
      <c r="N40" s="43">
        <v>830</v>
      </c>
      <c r="O40" s="43">
        <f>131+184</f>
        <v>315</v>
      </c>
      <c r="P40" s="31">
        <v>62.5</v>
      </c>
      <c r="Q40" s="31"/>
      <c r="R40" s="32"/>
      <c r="S40" s="33"/>
      <c r="T40" s="34"/>
      <c r="U40" s="34"/>
      <c r="V40" s="35">
        <f t="shared" si="15"/>
        <v>81279.775819859671</v>
      </c>
      <c r="W40" s="36">
        <f>V40/4+2993.5</f>
        <v>23313.443954964918</v>
      </c>
      <c r="X40" s="37"/>
      <c r="Y40" s="36">
        <f t="shared" si="10"/>
        <v>19232.703954964916</v>
      </c>
      <c r="Z40" s="38">
        <f t="shared" si="11"/>
        <v>18413.703954964916</v>
      </c>
      <c r="AA40" s="36">
        <v>20319.943954964918</v>
      </c>
      <c r="AB40" s="39">
        <f t="shared" si="12"/>
        <v>1089.28</v>
      </c>
      <c r="AC40" s="40">
        <f t="shared" si="13"/>
        <v>81279.795819859661</v>
      </c>
      <c r="AD40" s="38">
        <f t="shared" si="14"/>
        <v>-1.9999999989522621E-2</v>
      </c>
    </row>
    <row r="41" spans="1:30" s="39" customFormat="1" ht="15.75" hidden="1" customHeight="1">
      <c r="A41" s="44">
        <v>34</v>
      </c>
      <c r="B41" s="26" t="s">
        <v>57</v>
      </c>
      <c r="C41" s="28">
        <f>'[1]Свод '!$J$37/1000</f>
        <v>750.94086783294733</v>
      </c>
      <c r="D41" s="28">
        <f t="shared" si="0"/>
        <v>40.550806862979151</v>
      </c>
      <c r="E41" s="28">
        <f t="shared" si="1"/>
        <v>23.654637336737842</v>
      </c>
      <c r="F41" s="28">
        <f t="shared" si="2"/>
        <v>15.018817356658946</v>
      </c>
      <c r="G41" s="29">
        <f>'[2]Свод '!$L$61</f>
        <v>13577.144351609011</v>
      </c>
      <c r="H41" s="29">
        <f t="shared" si="3"/>
        <v>203.65716527413517</v>
      </c>
      <c r="I41" s="29">
        <f t="shared" si="4"/>
        <v>733.16579498688657</v>
      </c>
      <c r="J41" s="29">
        <f t="shared" si="5"/>
        <v>427.68004707568383</v>
      </c>
      <c r="K41" s="29">
        <f t="shared" si="6"/>
        <v>271.5428870321802</v>
      </c>
      <c r="L41" s="29">
        <f t="shared" si="7"/>
        <v>15213.190245977896</v>
      </c>
      <c r="M41" s="42">
        <f>[3]Лист2!$AC$39</f>
        <v>864.32</v>
      </c>
      <c r="N41" s="43">
        <v>36</v>
      </c>
      <c r="O41" s="43">
        <v>184</v>
      </c>
      <c r="P41" s="31">
        <v>37.5</v>
      </c>
      <c r="Q41" s="31"/>
      <c r="R41" s="32"/>
      <c r="S41" s="33"/>
      <c r="T41" s="34"/>
      <c r="U41" s="34"/>
      <c r="V41" s="35">
        <f t="shared" si="15"/>
        <v>16335.010245977895</v>
      </c>
      <c r="W41" s="36">
        <f t="shared" si="9"/>
        <v>4083.7525614944739</v>
      </c>
      <c r="X41" s="37"/>
      <c r="Y41" s="36">
        <f t="shared" si="10"/>
        <v>4686.6725614944735</v>
      </c>
      <c r="Z41" s="38">
        <f t="shared" si="11"/>
        <v>3867.6725614944739</v>
      </c>
      <c r="AA41" s="36">
        <f>4083.75-386.8</f>
        <v>3696.95</v>
      </c>
      <c r="AB41" s="39">
        <f t="shared" si="12"/>
        <v>123.47428571428573</v>
      </c>
      <c r="AC41" s="40">
        <f t="shared" si="13"/>
        <v>16335.047684483419</v>
      </c>
      <c r="AD41" s="38">
        <f t="shared" si="14"/>
        <v>-3.7438505523823551E-2</v>
      </c>
    </row>
    <row r="42" spans="1:30" s="39" customFormat="1" ht="15.75" hidden="1" customHeight="1">
      <c r="A42" s="44">
        <v>35</v>
      </c>
      <c r="B42" s="26" t="s">
        <v>58</v>
      </c>
      <c r="C42" s="28">
        <f>'[1]Свод '!$J$41/1000</f>
        <v>8241.4683737085161</v>
      </c>
      <c r="D42" s="28">
        <f t="shared" si="0"/>
        <v>445.03929218025979</v>
      </c>
      <c r="E42" s="28">
        <f t="shared" si="1"/>
        <v>259.60625377181827</v>
      </c>
      <c r="F42" s="28">
        <f t="shared" si="2"/>
        <v>164.82936747417031</v>
      </c>
      <c r="G42" s="29">
        <f>'[2]Свод '!$L$43</f>
        <v>154932.838392887</v>
      </c>
      <c r="H42" s="29">
        <f t="shared" si="3"/>
        <v>2323.992575893305</v>
      </c>
      <c r="I42" s="29">
        <f t="shared" si="4"/>
        <v>8366.3732732158987</v>
      </c>
      <c r="J42" s="29">
        <f t="shared" si="5"/>
        <v>4880.3844093759417</v>
      </c>
      <c r="K42" s="29">
        <f t="shared" si="6"/>
        <v>3098.6567678577403</v>
      </c>
      <c r="L42" s="29">
        <f t="shared" si="7"/>
        <v>173602.24541922988</v>
      </c>
      <c r="M42" s="42">
        <f>[3]Лист2!$AC$40</f>
        <v>3492.8</v>
      </c>
      <c r="N42" s="43">
        <v>638</v>
      </c>
      <c r="O42" s="43">
        <v>428</v>
      </c>
      <c r="P42" s="31">
        <v>400</v>
      </c>
      <c r="Q42" s="31"/>
      <c r="R42" s="32"/>
      <c r="S42" s="33"/>
      <c r="T42" s="34"/>
      <c r="U42" s="34"/>
      <c r="V42" s="35">
        <f t="shared" si="15"/>
        <v>178561.04541922986</v>
      </c>
      <c r="W42" s="36">
        <f>V42/4+927.4</f>
        <v>45567.661354807467</v>
      </c>
      <c r="X42" s="37"/>
      <c r="Y42" s="36">
        <f t="shared" si="10"/>
        <v>44586.061354807469</v>
      </c>
      <c r="Z42" s="38">
        <f t="shared" si="11"/>
        <v>43767.061354807469</v>
      </c>
      <c r="AA42" s="36">
        <v>44640.261354807466</v>
      </c>
      <c r="AB42" s="39">
        <f t="shared" si="12"/>
        <v>498.97142857142859</v>
      </c>
      <c r="AC42" s="40">
        <f t="shared" si="13"/>
        <v>178561.04541922986</v>
      </c>
      <c r="AD42" s="38">
        <f t="shared" si="14"/>
        <v>0</v>
      </c>
    </row>
    <row r="43" spans="1:30" s="39" customFormat="1" ht="15.75" hidden="1" customHeight="1">
      <c r="A43" s="44">
        <v>36</v>
      </c>
      <c r="B43" s="26" t="s">
        <v>59</v>
      </c>
      <c r="C43" s="28">
        <f>'[1]Свод '!$J$42/1000</f>
        <v>6425.0795290933629</v>
      </c>
      <c r="D43" s="28">
        <f t="shared" si="0"/>
        <v>346.9542945710416</v>
      </c>
      <c r="E43" s="28">
        <f t="shared" si="1"/>
        <v>202.39000516644094</v>
      </c>
      <c r="F43" s="28">
        <f t="shared" si="2"/>
        <v>128.50159058186725</v>
      </c>
      <c r="G43" s="29">
        <f>'[2]Свод '!$L$44</f>
        <v>132223.2328815432</v>
      </c>
      <c r="H43" s="29">
        <f t="shared" si="3"/>
        <v>1983.3484932231479</v>
      </c>
      <c r="I43" s="29">
        <f t="shared" si="4"/>
        <v>7140.0545756033325</v>
      </c>
      <c r="J43" s="29">
        <f t="shared" si="5"/>
        <v>4165.031835768611</v>
      </c>
      <c r="K43" s="29">
        <f t="shared" si="6"/>
        <v>2644.4646576308642</v>
      </c>
      <c r="L43" s="29">
        <f t="shared" si="7"/>
        <v>148156.13244376914</v>
      </c>
      <c r="M43" s="42">
        <v>5424</v>
      </c>
      <c r="N43" s="43">
        <v>416.5</v>
      </c>
      <c r="O43" s="43">
        <v>276</v>
      </c>
      <c r="P43" s="31">
        <v>112.5</v>
      </c>
      <c r="Q43" s="31"/>
      <c r="R43" s="32"/>
      <c r="S43" s="33"/>
      <c r="T43" s="34"/>
      <c r="U43" s="34"/>
      <c r="V43" s="35">
        <f t="shared" si="15"/>
        <v>154385.13244376914</v>
      </c>
      <c r="W43" s="36">
        <f>V43/4+1893</f>
        <v>40489.283110942284</v>
      </c>
      <c r="X43" s="37"/>
      <c r="Y43" s="36">
        <f t="shared" si="10"/>
        <v>38059.283110942284</v>
      </c>
      <c r="Z43" s="38">
        <f t="shared" si="11"/>
        <v>37240.283110942284</v>
      </c>
      <c r="AA43" s="36">
        <v>38596.283110942284</v>
      </c>
      <c r="AB43" s="39">
        <f t="shared" si="12"/>
        <v>774.85714285714289</v>
      </c>
      <c r="AC43" s="40">
        <f t="shared" si="13"/>
        <v>154385.13244376914</v>
      </c>
      <c r="AD43" s="38">
        <f t="shared" si="14"/>
        <v>0</v>
      </c>
    </row>
    <row r="44" spans="1:30" s="63" customFormat="1" ht="15.75" hidden="1" customHeight="1">
      <c r="A44" s="56">
        <v>37</v>
      </c>
      <c r="B44" s="26" t="s">
        <v>60</v>
      </c>
      <c r="C44" s="57">
        <f>'[1]Свод '!$J$43/1000</f>
        <v>3725.8337278121139</v>
      </c>
      <c r="D44" s="57">
        <f t="shared" si="0"/>
        <v>201.19502130185415</v>
      </c>
      <c r="E44" s="57">
        <f t="shared" si="1"/>
        <v>117.36376242608159</v>
      </c>
      <c r="F44" s="57">
        <f t="shared" si="2"/>
        <v>74.516674556242279</v>
      </c>
      <c r="G44" s="29">
        <f>'[2]Свод '!$L$45</f>
        <v>83772.901738453234</v>
      </c>
      <c r="H44" s="29">
        <f t="shared" si="3"/>
        <v>1256.5935260767985</v>
      </c>
      <c r="I44" s="58">
        <f t="shared" si="4"/>
        <v>4523.7366938764744</v>
      </c>
      <c r="J44" s="58">
        <f t="shared" si="5"/>
        <v>2638.846404761277</v>
      </c>
      <c r="K44" s="58">
        <f t="shared" si="6"/>
        <v>1675.4580347690646</v>
      </c>
      <c r="L44" s="29">
        <f t="shared" si="7"/>
        <v>93867.536397936856</v>
      </c>
      <c r="M44" s="59">
        <f>[3]Лист2!$AC$41</f>
        <v>1231.3599999999999</v>
      </c>
      <c r="N44" s="60">
        <v>304</v>
      </c>
      <c r="O44" s="60">
        <v>184</v>
      </c>
      <c r="P44" s="31">
        <v>62.5</v>
      </c>
      <c r="Q44" s="31"/>
      <c r="R44" s="32"/>
      <c r="S44" s="33"/>
      <c r="T44" s="34"/>
      <c r="U44" s="34"/>
      <c r="V44" s="35">
        <f t="shared" si="15"/>
        <v>95649.396397936856</v>
      </c>
      <c r="W44" s="36">
        <f t="shared" si="9"/>
        <v>23912.349099484214</v>
      </c>
      <c r="X44" s="61"/>
      <c r="Y44" s="36">
        <f t="shared" si="10"/>
        <v>24423.509099484214</v>
      </c>
      <c r="Z44" s="38">
        <f t="shared" si="11"/>
        <v>23604.509099484214</v>
      </c>
      <c r="AA44" s="62">
        <f>23912.34-203.3</f>
        <v>23709.040000000001</v>
      </c>
      <c r="AB44" s="39">
        <f t="shared" si="12"/>
        <v>175.90857142857141</v>
      </c>
      <c r="AC44" s="40">
        <f t="shared" si="13"/>
        <v>95649.407298452657</v>
      </c>
      <c r="AD44" s="38">
        <f t="shared" si="14"/>
        <v>-1.0900515801040456E-2</v>
      </c>
    </row>
    <row r="45" spans="1:30" s="39" customFormat="1" ht="15.75" hidden="1" customHeight="1">
      <c r="A45" s="44">
        <v>38</v>
      </c>
      <c r="B45" s="26" t="s">
        <v>61</v>
      </c>
      <c r="C45" s="28">
        <f>'[1]Свод '!$J$45/1000</f>
        <v>3701.8287106355992</v>
      </c>
      <c r="D45" s="28">
        <f t="shared" si="0"/>
        <v>199.89875037432233</v>
      </c>
      <c r="E45" s="28">
        <f t="shared" si="1"/>
        <v>116.60760438502139</v>
      </c>
      <c r="F45" s="28">
        <f t="shared" si="2"/>
        <v>74.036574212711983</v>
      </c>
      <c r="G45" s="29">
        <f>'[2]Свод '!$L$47</f>
        <v>66695.77728379883</v>
      </c>
      <c r="H45" s="29">
        <f t="shared" si="3"/>
        <v>1000.4366592569825</v>
      </c>
      <c r="I45" s="29">
        <f t="shared" si="4"/>
        <v>3601.5719733251367</v>
      </c>
      <c r="J45" s="29">
        <f t="shared" si="5"/>
        <v>2100.9169844396633</v>
      </c>
      <c r="K45" s="29">
        <f t="shared" si="6"/>
        <v>1333.9155456759765</v>
      </c>
      <c r="L45" s="29">
        <f t="shared" si="7"/>
        <v>74732.618446496592</v>
      </c>
      <c r="M45" s="42">
        <f>[3]Лист2!$AC$42</f>
        <v>1156.768</v>
      </c>
      <c r="N45" s="43">
        <v>209</v>
      </c>
      <c r="O45" s="60">
        <v>184</v>
      </c>
      <c r="P45" s="31">
        <v>75</v>
      </c>
      <c r="Q45" s="31"/>
      <c r="R45" s="32"/>
      <c r="S45" s="33"/>
      <c r="T45" s="34"/>
      <c r="U45" s="34"/>
      <c r="V45" s="35">
        <f t="shared" si="15"/>
        <v>76357.386446496588</v>
      </c>
      <c r="W45" s="36">
        <f t="shared" si="9"/>
        <v>19089.346611624147</v>
      </c>
      <c r="X45" s="37"/>
      <c r="Y45" s="36">
        <f t="shared" si="10"/>
        <v>19619.154611624148</v>
      </c>
      <c r="Z45" s="38">
        <f t="shared" si="11"/>
        <v>18800.154611624148</v>
      </c>
      <c r="AA45" s="36">
        <f>19089.34-240.6</f>
        <v>18848.740000000002</v>
      </c>
      <c r="AB45" s="39">
        <f t="shared" si="12"/>
        <v>165.25257142857143</v>
      </c>
      <c r="AC45" s="40">
        <f t="shared" si="13"/>
        <v>76357.395834872455</v>
      </c>
      <c r="AD45" s="38">
        <f t="shared" si="14"/>
        <v>-9.3883758672745898E-3</v>
      </c>
    </row>
    <row r="46" spans="1:30" s="39" customFormat="1" ht="15.75" hidden="1" customHeight="1">
      <c r="A46" s="44">
        <v>39</v>
      </c>
      <c r="B46" s="26" t="s">
        <v>62</v>
      </c>
      <c r="C46" s="28">
        <f>'[1]Свод '!$J$46/1000</f>
        <v>4431.6803452793492</v>
      </c>
      <c r="D46" s="28">
        <f t="shared" si="0"/>
        <v>239.31073864508483</v>
      </c>
      <c r="E46" s="28">
        <f t="shared" si="1"/>
        <v>139.5979308762995</v>
      </c>
      <c r="F46" s="28">
        <f t="shared" si="2"/>
        <v>88.633606905586987</v>
      </c>
      <c r="G46" s="29">
        <f>'[2]Свод '!$L$48</f>
        <v>80404.244000619379</v>
      </c>
      <c r="H46" s="29">
        <f t="shared" si="3"/>
        <v>1206.0636600092907</v>
      </c>
      <c r="I46" s="29">
        <f t="shared" si="4"/>
        <v>4341.8291760334469</v>
      </c>
      <c r="J46" s="29">
        <f t="shared" si="5"/>
        <v>2532.7336860195105</v>
      </c>
      <c r="K46" s="29">
        <f t="shared" si="6"/>
        <v>1608.0848800123877</v>
      </c>
      <c r="L46" s="29">
        <f t="shared" si="7"/>
        <v>90092.955402694017</v>
      </c>
      <c r="M46" s="42">
        <f>[3]Лист2!$AC$43</f>
        <v>6076.88</v>
      </c>
      <c r="N46" s="43">
        <v>1573</v>
      </c>
      <c r="O46" s="60">
        <v>184</v>
      </c>
      <c r="P46" s="31">
        <v>62.5</v>
      </c>
      <c r="Q46" s="31"/>
      <c r="R46" s="32"/>
      <c r="S46" s="33"/>
      <c r="T46" s="34"/>
      <c r="U46" s="34"/>
      <c r="V46" s="35">
        <f t="shared" si="15"/>
        <v>97989.335402694021</v>
      </c>
      <c r="W46" s="36">
        <f>V46/4+2219.4</f>
        <v>26716.733850673507</v>
      </c>
      <c r="X46" s="37"/>
      <c r="Y46" s="36">
        <f t="shared" si="10"/>
        <v>23797.113850673504</v>
      </c>
      <c r="Z46" s="38">
        <f t="shared" si="11"/>
        <v>22978.113850673504</v>
      </c>
      <c r="AA46" s="36">
        <v>24497.333850673505</v>
      </c>
      <c r="AB46" s="39">
        <f t="shared" si="12"/>
        <v>868.12571428571425</v>
      </c>
      <c r="AC46" s="40">
        <f t="shared" si="13"/>
        <v>97989.295402694013</v>
      </c>
      <c r="AD46" s="38">
        <f t="shared" si="14"/>
        <v>4.0000000008149073E-2</v>
      </c>
    </row>
    <row r="47" spans="1:30" s="39" customFormat="1" ht="15.75" hidden="1" customHeight="1">
      <c r="A47" s="44">
        <v>41</v>
      </c>
      <c r="B47" s="26" t="s">
        <v>63</v>
      </c>
      <c r="C47" s="28">
        <f>'[1]Свод '!$J$44/1000</f>
        <v>5387.8751330599744</v>
      </c>
      <c r="D47" s="28">
        <f t="shared" si="0"/>
        <v>290.94525718523857</v>
      </c>
      <c r="E47" s="28">
        <f t="shared" si="1"/>
        <v>169.7180666913892</v>
      </c>
      <c r="F47" s="28">
        <f t="shared" si="2"/>
        <v>107.7575026611995</v>
      </c>
      <c r="G47" s="29">
        <f>'[2]Свод '!$L$46</f>
        <v>112492.92388283582</v>
      </c>
      <c r="H47" s="29">
        <f t="shared" si="3"/>
        <v>1687.3938582425374</v>
      </c>
      <c r="I47" s="29">
        <f t="shared" si="4"/>
        <v>6074.6178896731344</v>
      </c>
      <c r="J47" s="29">
        <f t="shared" si="5"/>
        <v>3543.5271023093292</v>
      </c>
      <c r="K47" s="29">
        <f t="shared" si="6"/>
        <v>2249.8584776567163</v>
      </c>
      <c r="L47" s="29">
        <f t="shared" si="7"/>
        <v>126048.32121071752</v>
      </c>
      <c r="M47" s="42">
        <f>[3]Лист2!$AC$44</f>
        <v>2702.48</v>
      </c>
      <c r="N47" s="43">
        <v>461</v>
      </c>
      <c r="O47" s="60">
        <f>360+184</f>
        <v>544</v>
      </c>
      <c r="P47" s="31">
        <v>75</v>
      </c>
      <c r="Q47" s="31"/>
      <c r="R47" s="32"/>
      <c r="S47" s="33"/>
      <c r="T47" s="34"/>
      <c r="U47" s="34"/>
      <c r="V47" s="35">
        <f t="shared" si="15"/>
        <v>129830.80121071752</v>
      </c>
      <c r="W47" s="36">
        <f>V47/4+532.2</f>
        <v>32989.90030267938</v>
      </c>
      <c r="X47" s="37"/>
      <c r="Y47" s="36">
        <f t="shared" si="10"/>
        <v>32601.08030267938</v>
      </c>
      <c r="Z47" s="38">
        <f t="shared" si="11"/>
        <v>31782.08030267938</v>
      </c>
      <c r="AA47" s="36">
        <v>32457.700302679379</v>
      </c>
      <c r="AB47" s="39">
        <f t="shared" si="12"/>
        <v>386.06857142857143</v>
      </c>
      <c r="AC47" s="40">
        <f t="shared" si="13"/>
        <v>129830.76121071752</v>
      </c>
      <c r="AD47" s="38">
        <f t="shared" si="14"/>
        <v>3.9999999993597157E-2</v>
      </c>
    </row>
    <row r="48" spans="1:30" s="39" customFormat="1" ht="15.75" hidden="1" customHeight="1">
      <c r="A48" s="56">
        <v>41</v>
      </c>
      <c r="B48" s="26" t="s">
        <v>64</v>
      </c>
      <c r="C48" s="28">
        <f>'[1]Свод '!$J$40/1000</f>
        <v>4508.8782471876812</v>
      </c>
      <c r="D48" s="28">
        <f t="shared" si="0"/>
        <v>243.47942534813478</v>
      </c>
      <c r="E48" s="28">
        <f t="shared" si="1"/>
        <v>142.02966478641196</v>
      </c>
      <c r="F48" s="28">
        <f t="shared" si="2"/>
        <v>90.177564943753623</v>
      </c>
      <c r="G48" s="29">
        <f>'[2]Свод '!$L$42</f>
        <v>72790.795424472119</v>
      </c>
      <c r="H48" s="29">
        <f t="shared" si="3"/>
        <v>1091.8619313670818</v>
      </c>
      <c r="I48" s="29">
        <f t="shared" si="4"/>
        <v>3930.7029529214942</v>
      </c>
      <c r="J48" s="29">
        <f t="shared" si="5"/>
        <v>2292.9100558708719</v>
      </c>
      <c r="K48" s="29">
        <f t="shared" si="6"/>
        <v>1455.8159084894423</v>
      </c>
      <c r="L48" s="29">
        <f t="shared" si="7"/>
        <v>81562.086273121007</v>
      </c>
      <c r="M48" s="42">
        <f>[3]Лист2!$AC$46</f>
        <v>6799.12</v>
      </c>
      <c r="N48" s="43">
        <v>517</v>
      </c>
      <c r="O48" s="43">
        <f>209+184</f>
        <v>393</v>
      </c>
      <c r="P48" s="31">
        <v>150</v>
      </c>
      <c r="Q48" s="31"/>
      <c r="R48" s="32"/>
      <c r="S48" s="33"/>
      <c r="T48" s="34"/>
      <c r="U48" s="34"/>
      <c r="V48" s="35">
        <f t="shared" si="15"/>
        <v>89421.206273121003</v>
      </c>
      <c r="W48" s="36">
        <f>V48/4+2580.6</f>
        <v>24935.901568280249</v>
      </c>
      <c r="X48" s="37"/>
      <c r="Y48" s="36">
        <f t="shared" si="10"/>
        <v>21474.521568280252</v>
      </c>
      <c r="Z48" s="38">
        <f t="shared" si="11"/>
        <v>20655.521568280252</v>
      </c>
      <c r="AA48" s="36">
        <v>22355.301568280251</v>
      </c>
      <c r="AB48" s="39">
        <f t="shared" si="12"/>
        <v>971.30285714285708</v>
      </c>
      <c r="AC48" s="40">
        <f t="shared" si="13"/>
        <v>89421.246273120996</v>
      </c>
      <c r="AD48" s="38">
        <f t="shared" si="14"/>
        <v>-3.9999999993597157E-2</v>
      </c>
    </row>
    <row r="49" spans="1:30" s="39" customFormat="1" ht="12.75" hidden="1" customHeight="1">
      <c r="A49" s="44"/>
      <c r="B49" s="26"/>
      <c r="C49" s="28"/>
      <c r="D49" s="28"/>
      <c r="E49" s="28"/>
      <c r="F49" s="28"/>
      <c r="G49" s="29"/>
      <c r="H49" s="29">
        <f t="shared" si="3"/>
        <v>0</v>
      </c>
      <c r="I49" s="29"/>
      <c r="J49" s="29"/>
      <c r="K49" s="29"/>
      <c r="L49" s="29">
        <f t="shared" si="7"/>
        <v>0</v>
      </c>
      <c r="M49" s="42"/>
      <c r="N49" s="43"/>
      <c r="O49" s="43"/>
      <c r="P49" s="31"/>
      <c r="Q49" s="31"/>
      <c r="R49" s="32"/>
      <c r="S49" s="33"/>
      <c r="T49" s="34"/>
      <c r="U49" s="34"/>
      <c r="V49" s="35">
        <f t="shared" si="15"/>
        <v>0</v>
      </c>
      <c r="W49" s="36">
        <f t="shared" si="9"/>
        <v>0</v>
      </c>
      <c r="X49" s="37"/>
      <c r="Y49" s="36">
        <f t="shared" si="10"/>
        <v>819</v>
      </c>
      <c r="Z49" s="38">
        <f t="shared" si="11"/>
        <v>0</v>
      </c>
      <c r="AA49" s="36">
        <v>0</v>
      </c>
      <c r="AB49" s="39">
        <f t="shared" si="12"/>
        <v>0</v>
      </c>
      <c r="AC49" s="40">
        <f t="shared" si="13"/>
        <v>819</v>
      </c>
      <c r="AD49" s="38">
        <f t="shared" si="14"/>
        <v>-819</v>
      </c>
    </row>
    <row r="50" spans="1:30" s="39" customFormat="1" ht="15.75" hidden="1" customHeight="1">
      <c r="A50" s="44">
        <v>42</v>
      </c>
      <c r="B50" s="26" t="s">
        <v>65</v>
      </c>
      <c r="C50" s="28">
        <f>'[1]Свод '!$J$47/1000</f>
        <v>970.77216614128042</v>
      </c>
      <c r="D50" s="28">
        <f t="shared" si="0"/>
        <v>52.421696971629139</v>
      </c>
      <c r="E50" s="28">
        <f t="shared" si="1"/>
        <v>30.579323233450339</v>
      </c>
      <c r="F50" s="28">
        <f t="shared" si="2"/>
        <v>19.41544332282561</v>
      </c>
      <c r="G50" s="29">
        <f>'[2]Свод '!$L$71</f>
        <v>14506.193297602471</v>
      </c>
      <c r="H50" s="29">
        <f t="shared" si="3"/>
        <v>217.59289946403706</v>
      </c>
      <c r="I50" s="29">
        <f t="shared" si="4"/>
        <v>783.33443807053334</v>
      </c>
      <c r="J50" s="29">
        <f t="shared" si="5"/>
        <v>456.94508887447785</v>
      </c>
      <c r="K50" s="29">
        <f t="shared" si="6"/>
        <v>290.12386595204941</v>
      </c>
      <c r="L50" s="29">
        <f t="shared" si="7"/>
        <v>16254.189589963567</v>
      </c>
      <c r="M50" s="42">
        <f>[3]Лист2!$AC$45</f>
        <v>301.32799999999997</v>
      </c>
      <c r="N50" s="43">
        <v>60</v>
      </c>
      <c r="O50" s="43">
        <f>132+92</f>
        <v>224</v>
      </c>
      <c r="P50" s="31">
        <v>12.5</v>
      </c>
      <c r="Q50" s="31"/>
      <c r="R50" s="32"/>
      <c r="S50" s="33"/>
      <c r="T50" s="34"/>
      <c r="U50" s="34"/>
      <c r="V50" s="35">
        <f t="shared" si="15"/>
        <v>16852.017589963569</v>
      </c>
      <c r="W50" s="36">
        <f t="shared" si="9"/>
        <v>4213.0043974908922</v>
      </c>
      <c r="X50" s="37"/>
      <c r="Y50" s="36">
        <f t="shared" si="10"/>
        <v>4956.6723974908919</v>
      </c>
      <c r="Z50" s="38">
        <f t="shared" si="11"/>
        <v>4137.6723974908919</v>
      </c>
      <c r="AA50" s="36">
        <f>4213-668.3</f>
        <v>3544.7</v>
      </c>
      <c r="AB50" s="39">
        <f t="shared" si="12"/>
        <v>43.046857142857142</v>
      </c>
      <c r="AC50" s="40">
        <f t="shared" si="13"/>
        <v>16852.049192472678</v>
      </c>
      <c r="AD50" s="38">
        <f t="shared" si="14"/>
        <v>-3.1602509108779486E-2</v>
      </c>
    </row>
    <row r="51" spans="1:30" s="39" customFormat="1" ht="15.75" hidden="1" customHeight="1">
      <c r="A51" s="44">
        <v>43</v>
      </c>
      <c r="B51" s="26" t="s">
        <v>66</v>
      </c>
      <c r="C51" s="28">
        <f>'[1]Свод '!$J$53/1000</f>
        <v>3357.7147371766973</v>
      </c>
      <c r="D51" s="28">
        <f t="shared" si="0"/>
        <v>181.31659580754166</v>
      </c>
      <c r="E51" s="28">
        <f t="shared" si="1"/>
        <v>105.76801422106597</v>
      </c>
      <c r="F51" s="28">
        <f t="shared" si="2"/>
        <v>67.154294743533953</v>
      </c>
      <c r="G51" s="29">
        <f>'[2]Свод '!$L$55</f>
        <v>60322.495496306328</v>
      </c>
      <c r="H51" s="29">
        <f t="shared" si="3"/>
        <v>904.83743244459492</v>
      </c>
      <c r="I51" s="29">
        <f t="shared" si="4"/>
        <v>3257.4147568005419</v>
      </c>
      <c r="J51" s="29">
        <f t="shared" si="5"/>
        <v>1900.1586081336498</v>
      </c>
      <c r="K51" s="29">
        <f t="shared" si="6"/>
        <v>1206.4499099261266</v>
      </c>
      <c r="L51" s="29">
        <f t="shared" si="7"/>
        <v>67591.356203611242</v>
      </c>
      <c r="M51" s="42">
        <f>[3]Лист2!$AC$48</f>
        <v>1323.4159999999999</v>
      </c>
      <c r="N51" s="43">
        <v>143</v>
      </c>
      <c r="O51" s="43">
        <f>208.3+92</f>
        <v>300.3</v>
      </c>
      <c r="P51" s="31">
        <v>75</v>
      </c>
      <c r="Q51" s="31"/>
      <c r="R51" s="32"/>
      <c r="S51" s="33"/>
      <c r="T51" s="34"/>
      <c r="U51" s="34"/>
      <c r="V51" s="35">
        <f t="shared" si="15"/>
        <v>69433.072203611242</v>
      </c>
      <c r="W51" s="36">
        <f t="shared" si="9"/>
        <v>17358.268050902811</v>
      </c>
      <c r="X51" s="37"/>
      <c r="Y51" s="36">
        <f t="shared" si="10"/>
        <v>17846.414050902811</v>
      </c>
      <c r="Z51" s="38">
        <f t="shared" si="11"/>
        <v>17027.414050902811</v>
      </c>
      <c r="AA51" s="36">
        <f>17358.26-157.3</f>
        <v>17200.96</v>
      </c>
      <c r="AB51" s="39">
        <f t="shared" si="12"/>
        <v>189.05942857142855</v>
      </c>
      <c r="AC51" s="40">
        <f t="shared" si="13"/>
        <v>69433.056152708421</v>
      </c>
      <c r="AD51" s="38">
        <f t="shared" si="14"/>
        <v>1.6050902821007185E-2</v>
      </c>
    </row>
    <row r="52" spans="1:30" s="39" customFormat="1" ht="15.75" hidden="1" customHeight="1">
      <c r="A52" s="56">
        <v>44</v>
      </c>
      <c r="B52" s="26" t="s">
        <v>67</v>
      </c>
      <c r="C52" s="28">
        <f>'[1]Свод '!$J$50/1000</f>
        <v>3114.1402739293017</v>
      </c>
      <c r="D52" s="28">
        <f t="shared" si="0"/>
        <v>168.16357479218229</v>
      </c>
      <c r="E52" s="28">
        <f t="shared" si="1"/>
        <v>98.095418628773018</v>
      </c>
      <c r="F52" s="28">
        <f t="shared" si="2"/>
        <v>62.282805478586035</v>
      </c>
      <c r="G52" s="29">
        <f>'[2]Свод '!$L$52</f>
        <v>24836.438553436328</v>
      </c>
      <c r="H52" s="29">
        <f t="shared" si="3"/>
        <v>372.54657830154491</v>
      </c>
      <c r="I52" s="29">
        <f t="shared" si="4"/>
        <v>1341.1676818855615</v>
      </c>
      <c r="J52" s="29">
        <f t="shared" si="5"/>
        <v>782.34781443324437</v>
      </c>
      <c r="K52" s="29">
        <f t="shared" si="6"/>
        <v>496.72877106872659</v>
      </c>
      <c r="L52" s="29">
        <f t="shared" si="7"/>
        <v>27829.229399125408</v>
      </c>
      <c r="M52" s="42">
        <f>[3]Лист2!$AC$49</f>
        <v>1384.6880000000001</v>
      </c>
      <c r="N52" s="53">
        <f>'[4] 151 свет 2'!$K$35/1000</f>
        <v>183.52384000000001</v>
      </c>
      <c r="O52" s="43">
        <f>360+184</f>
        <v>544</v>
      </c>
      <c r="P52" s="31"/>
      <c r="Q52" s="31"/>
      <c r="R52" s="32"/>
      <c r="S52" s="33"/>
      <c r="T52" s="34"/>
      <c r="U52" s="34"/>
      <c r="V52" s="35">
        <f t="shared" si="15"/>
        <v>29941.441239125408</v>
      </c>
      <c r="W52" s="36">
        <f t="shared" si="9"/>
        <v>7485.360309781352</v>
      </c>
      <c r="X52" s="37"/>
      <c r="Y52" s="36">
        <f t="shared" si="10"/>
        <v>7958.1883097813525</v>
      </c>
      <c r="Z52" s="38">
        <f t="shared" si="11"/>
        <v>7139.1883097813525</v>
      </c>
      <c r="AA52" s="36">
        <f>7485.36-126.7</f>
        <v>7358.66</v>
      </c>
      <c r="AB52" s="39">
        <f t="shared" si="12"/>
        <v>197.81257142857143</v>
      </c>
      <c r="AC52" s="40">
        <f t="shared" si="13"/>
        <v>29941.396929344057</v>
      </c>
      <c r="AD52" s="38">
        <f t="shared" si="14"/>
        <v>4.4309781351330457E-2</v>
      </c>
    </row>
    <row r="53" spans="1:30" s="39" customFormat="1" ht="15.75" hidden="1" customHeight="1">
      <c r="A53" s="44">
        <v>45</v>
      </c>
      <c r="B53" s="26" t="s">
        <v>68</v>
      </c>
      <c r="C53" s="28">
        <f>'[1]Свод '!$J$48/1000</f>
        <v>3733.4605312137242</v>
      </c>
      <c r="D53" s="28">
        <f t="shared" si="0"/>
        <v>201.60686868554112</v>
      </c>
      <c r="E53" s="28">
        <f t="shared" si="1"/>
        <v>117.60400673323232</v>
      </c>
      <c r="F53" s="28">
        <f t="shared" si="2"/>
        <v>74.669210624274484</v>
      </c>
      <c r="G53" s="29">
        <f>'[2]Свод '!$L$50</f>
        <v>31294.077679359187</v>
      </c>
      <c r="H53" s="29">
        <f t="shared" si="3"/>
        <v>469.41116519038781</v>
      </c>
      <c r="I53" s="29">
        <f t="shared" si="4"/>
        <v>1689.880194685396</v>
      </c>
      <c r="J53" s="29">
        <f t="shared" si="5"/>
        <v>985.76344689981454</v>
      </c>
      <c r="K53" s="29">
        <f t="shared" si="6"/>
        <v>625.8815535871837</v>
      </c>
      <c r="L53" s="29">
        <f t="shared" si="7"/>
        <v>35065.014039721966</v>
      </c>
      <c r="M53" s="42">
        <f>[3]Лист2!$AC$50</f>
        <v>3778.7359999999999</v>
      </c>
      <c r="N53" s="43">
        <v>1292</v>
      </c>
      <c r="O53" s="43">
        <f>360+184</f>
        <v>544</v>
      </c>
      <c r="P53" s="31">
        <v>62.5</v>
      </c>
      <c r="Q53" s="31"/>
      <c r="R53" s="32"/>
      <c r="S53" s="33"/>
      <c r="T53" s="34"/>
      <c r="U53" s="34"/>
      <c r="V53" s="35">
        <f t="shared" si="15"/>
        <v>40742.250039721963</v>
      </c>
      <c r="W53" s="36">
        <f>V53/4+1070.4</f>
        <v>11255.96250993049</v>
      </c>
      <c r="X53" s="37"/>
      <c r="Y53" s="36">
        <f t="shared" si="10"/>
        <v>10059.878509930491</v>
      </c>
      <c r="Z53" s="38">
        <f t="shared" si="11"/>
        <v>9240.8785099304914</v>
      </c>
      <c r="AA53" s="36">
        <v>10185.562509930491</v>
      </c>
      <c r="AB53" s="39">
        <f t="shared" si="12"/>
        <v>539.8194285714286</v>
      </c>
      <c r="AC53" s="40">
        <f t="shared" si="13"/>
        <v>40742.282039721962</v>
      </c>
      <c r="AD53" s="38">
        <f t="shared" si="14"/>
        <v>-3.19999999992433E-2</v>
      </c>
    </row>
    <row r="54" spans="1:30" s="39" customFormat="1" ht="18" hidden="1" customHeight="1">
      <c r="A54" s="44">
        <v>46</v>
      </c>
      <c r="B54" s="26" t="s">
        <v>69</v>
      </c>
      <c r="C54" s="28">
        <f>'[1]Свод '!$J$51/1000</f>
        <v>5683.7802916720584</v>
      </c>
      <c r="D54" s="28">
        <f t="shared" si="0"/>
        <v>306.92413575029116</v>
      </c>
      <c r="E54" s="28">
        <f t="shared" si="1"/>
        <v>179.03907918766987</v>
      </c>
      <c r="F54" s="28">
        <f t="shared" si="2"/>
        <v>113.67560583344117</v>
      </c>
      <c r="G54" s="29">
        <f>'[2]Свод '!$L$53</f>
        <v>112096.6683148742</v>
      </c>
      <c r="H54" s="29">
        <f t="shared" si="3"/>
        <v>1681.4500247231128</v>
      </c>
      <c r="I54" s="29">
        <f t="shared" si="4"/>
        <v>6053.2200890032063</v>
      </c>
      <c r="J54" s="29">
        <f t="shared" si="5"/>
        <v>3531.0450519185374</v>
      </c>
      <c r="K54" s="29">
        <f t="shared" si="6"/>
        <v>2241.9333662974841</v>
      </c>
      <c r="L54" s="29">
        <f t="shared" si="7"/>
        <v>125604.31684681655</v>
      </c>
      <c r="M54" s="42">
        <v>3927</v>
      </c>
      <c r="N54" s="53">
        <v>840</v>
      </c>
      <c r="O54" s="43">
        <v>222</v>
      </c>
      <c r="P54" s="31">
        <v>187.5</v>
      </c>
      <c r="Q54" s="31">
        <v>160</v>
      </c>
      <c r="R54" s="32">
        <v>1416</v>
      </c>
      <c r="S54" s="33"/>
      <c r="T54" s="34"/>
      <c r="U54" s="34"/>
      <c r="V54" s="35">
        <f t="shared" si="15"/>
        <v>132356.81684681657</v>
      </c>
      <c r="W54" s="36">
        <f>V54/4+1144.5</f>
        <v>34233.704211704142</v>
      </c>
      <c r="X54" s="37"/>
      <c r="Y54" s="36">
        <f t="shared" si="10"/>
        <v>32926.454211704142</v>
      </c>
      <c r="Z54" s="38">
        <f t="shared" si="11"/>
        <v>32107.454211704138</v>
      </c>
      <c r="AA54" s="36">
        <v>33089.204211704142</v>
      </c>
      <c r="AB54" s="39">
        <f t="shared" si="12"/>
        <v>561</v>
      </c>
      <c r="AC54" s="40">
        <f t="shared" si="13"/>
        <v>132356.81684681657</v>
      </c>
      <c r="AD54" s="38">
        <f t="shared" si="14"/>
        <v>0</v>
      </c>
    </row>
    <row r="55" spans="1:30" s="39" customFormat="1" ht="15.75" hidden="1" customHeight="1">
      <c r="A55" s="56">
        <v>47</v>
      </c>
      <c r="B55" s="26" t="s">
        <v>70</v>
      </c>
      <c r="C55" s="28">
        <f>'[1]Свод '!$J$52/1000</f>
        <v>3830.8684139168495</v>
      </c>
      <c r="D55" s="28">
        <f t="shared" si="0"/>
        <v>206.86689435150984</v>
      </c>
      <c r="E55" s="28">
        <f t="shared" si="1"/>
        <v>120.67235503838077</v>
      </c>
      <c r="F55" s="28">
        <f t="shared" si="2"/>
        <v>76.617368278336997</v>
      </c>
      <c r="G55" s="29">
        <f>'[2]Свод '!$L$54</f>
        <v>59434.772715603831</v>
      </c>
      <c r="H55" s="29">
        <f t="shared" si="3"/>
        <v>891.52159073405744</v>
      </c>
      <c r="I55" s="29">
        <f t="shared" si="4"/>
        <v>3209.4777266426067</v>
      </c>
      <c r="J55" s="29">
        <f t="shared" si="5"/>
        <v>1872.1953405415209</v>
      </c>
      <c r="K55" s="29">
        <f t="shared" si="6"/>
        <v>1188.6954543120767</v>
      </c>
      <c r="L55" s="29">
        <f t="shared" si="7"/>
        <v>66596.662827834094</v>
      </c>
      <c r="M55" s="42">
        <f>[3]Лист2!$AC$52</f>
        <v>5415.3200000000006</v>
      </c>
      <c r="N55" s="43">
        <v>465</v>
      </c>
      <c r="O55" s="43">
        <f>208.3+184</f>
        <v>392.3</v>
      </c>
      <c r="P55" s="31">
        <v>125</v>
      </c>
      <c r="Q55" s="31"/>
      <c r="R55" s="32"/>
      <c r="S55" s="33"/>
      <c r="T55" s="34"/>
      <c r="U55" s="34"/>
      <c r="V55" s="35">
        <f t="shared" si="15"/>
        <v>72994.282827834104</v>
      </c>
      <c r="W55" s="36">
        <f>V55/4+1888.7</f>
        <v>20137.270706958527</v>
      </c>
      <c r="X55" s="37"/>
      <c r="Y55" s="36">
        <f t="shared" si="10"/>
        <v>17713.740706958524</v>
      </c>
      <c r="Z55" s="38">
        <f t="shared" si="11"/>
        <v>16894.740706958524</v>
      </c>
      <c r="AA55" s="36">
        <v>18248.570706958526</v>
      </c>
      <c r="AB55" s="39">
        <f t="shared" si="12"/>
        <v>773.61714285714299</v>
      </c>
      <c r="AC55" s="40">
        <f t="shared" si="13"/>
        <v>72994.322827834098</v>
      </c>
      <c r="AD55" s="38">
        <f t="shared" si="14"/>
        <v>-3.9999999993597157E-2</v>
      </c>
    </row>
    <row r="56" spans="1:30" s="39" customFormat="1" ht="15.75" hidden="1" customHeight="1">
      <c r="A56" s="44">
        <v>48</v>
      </c>
      <c r="B56" s="26" t="s">
        <v>71</v>
      </c>
      <c r="C56" s="28">
        <f>'[1]Свод '!$J$55/1000</f>
        <v>4295.9332007964895</v>
      </c>
      <c r="D56" s="28">
        <f t="shared" si="0"/>
        <v>231.98039284301043</v>
      </c>
      <c r="E56" s="28">
        <f t="shared" si="1"/>
        <v>135.32189582508943</v>
      </c>
      <c r="F56" s="28">
        <f t="shared" si="2"/>
        <v>85.918664015929792</v>
      </c>
      <c r="G56" s="29">
        <f>'[2]Свод '!$L$56</f>
        <v>83834.728034456348</v>
      </c>
      <c r="H56" s="29">
        <f t="shared" si="3"/>
        <v>1257.5209205168451</v>
      </c>
      <c r="I56" s="29">
        <f t="shared" si="4"/>
        <v>4527.0753138606424</v>
      </c>
      <c r="J56" s="29">
        <f t="shared" si="5"/>
        <v>2640.7939330853751</v>
      </c>
      <c r="K56" s="29">
        <f t="shared" si="6"/>
        <v>1676.694560689127</v>
      </c>
      <c r="L56" s="29">
        <f t="shared" si="7"/>
        <v>93936.81276260833</v>
      </c>
      <c r="M56" s="42">
        <f>[3]Лист2!$AC$53</f>
        <v>441.04</v>
      </c>
      <c r="N56" s="43">
        <v>337.4</v>
      </c>
      <c r="O56" s="43">
        <v>184</v>
      </c>
      <c r="P56" s="31">
        <v>150</v>
      </c>
      <c r="Q56" s="31"/>
      <c r="R56" s="55">
        <f>2133*205/1000</f>
        <v>437.26499999999999</v>
      </c>
      <c r="S56" s="33"/>
      <c r="T56" s="34"/>
      <c r="U56" s="34"/>
      <c r="V56" s="35">
        <f t="shared" si="15"/>
        <v>95486.517762608317</v>
      </c>
      <c r="W56" s="36">
        <f t="shared" si="9"/>
        <v>23871.629440652079</v>
      </c>
      <c r="X56" s="37"/>
      <c r="Y56" s="36">
        <f t="shared" si="10"/>
        <v>24580.369440652081</v>
      </c>
      <c r="Z56" s="38">
        <f t="shared" si="11"/>
        <v>23761.369440652081</v>
      </c>
      <c r="AA56" s="36">
        <f>23871.62-598.5</f>
        <v>23273.119999999999</v>
      </c>
      <c r="AB56" s="39">
        <f t="shared" si="12"/>
        <v>63.005714285714291</v>
      </c>
      <c r="AC56" s="40">
        <f t="shared" si="13"/>
        <v>95486.488321956233</v>
      </c>
      <c r="AD56" s="38">
        <f t="shared" si="14"/>
        <v>2.944065208430402E-2</v>
      </c>
    </row>
    <row r="57" spans="1:30" s="39" customFormat="1" ht="15.75" hidden="1" customHeight="1">
      <c r="A57" s="44">
        <v>49</v>
      </c>
      <c r="B57" s="26" t="s">
        <v>72</v>
      </c>
      <c r="C57" s="28">
        <f>'[1]Свод '!$J$56/1000</f>
        <v>3834.7523088121143</v>
      </c>
      <c r="D57" s="28">
        <f t="shared" si="0"/>
        <v>207.07662467585416</v>
      </c>
      <c r="E57" s="28">
        <f t="shared" si="1"/>
        <v>120.79469772758162</v>
      </c>
      <c r="F57" s="28">
        <f t="shared" si="2"/>
        <v>76.695046176242286</v>
      </c>
      <c r="G57" s="29">
        <f>'[2]Свод '!$L$57</f>
        <v>57540.732972449761</v>
      </c>
      <c r="H57" s="29">
        <f t="shared" si="3"/>
        <v>863.11099458674641</v>
      </c>
      <c r="I57" s="29">
        <f t="shared" si="4"/>
        <v>3107.199580512287</v>
      </c>
      <c r="J57" s="29">
        <f t="shared" si="5"/>
        <v>1812.5330886321676</v>
      </c>
      <c r="K57" s="29">
        <f t="shared" si="6"/>
        <v>1150.8146594489951</v>
      </c>
      <c r="L57" s="29">
        <f t="shared" si="7"/>
        <v>64474.391295629954</v>
      </c>
      <c r="M57" s="42">
        <f>[3]Лист2!$AC$54</f>
        <v>367.92800000000005</v>
      </c>
      <c r="N57" s="43">
        <v>90</v>
      </c>
      <c r="O57" s="43">
        <v>184</v>
      </c>
      <c r="P57" s="31">
        <v>62.5</v>
      </c>
      <c r="Q57" s="31"/>
      <c r="R57" s="32">
        <f>1902*205/1000</f>
        <v>389.91</v>
      </c>
      <c r="S57" s="33"/>
      <c r="T57" s="34"/>
      <c r="U57" s="34"/>
      <c r="V57" s="35">
        <f t="shared" si="15"/>
        <v>65568.72929562995</v>
      </c>
      <c r="W57" s="36">
        <f t="shared" si="9"/>
        <v>16392.182323907487</v>
      </c>
      <c r="X57" s="37"/>
      <c r="Y57" s="36">
        <f t="shared" si="10"/>
        <v>17119.200323907491</v>
      </c>
      <c r="Z57" s="38">
        <f t="shared" si="11"/>
        <v>16300.200323907489</v>
      </c>
      <c r="AA57" s="36">
        <f>16392.18-635</f>
        <v>15757.18</v>
      </c>
      <c r="AB57" s="39">
        <f t="shared" si="12"/>
        <v>52.561142857142862</v>
      </c>
      <c r="AC57" s="40">
        <f t="shared" si="13"/>
        <v>65568.762971722463</v>
      </c>
      <c r="AD57" s="38">
        <f t="shared" si="14"/>
        <v>-3.3676092512905598E-2</v>
      </c>
    </row>
    <row r="58" spans="1:30" s="39" customFormat="1" ht="15.75" hidden="1" customHeight="1">
      <c r="A58" s="56">
        <v>50</v>
      </c>
      <c r="B58" s="26" t="s">
        <v>73</v>
      </c>
      <c r="C58" s="28">
        <f>'[1]Свод '!$J$57/1000</f>
        <v>7420.7923418682676</v>
      </c>
      <c r="D58" s="28">
        <f t="shared" si="0"/>
        <v>400.72278646088643</v>
      </c>
      <c r="E58" s="28">
        <f t="shared" si="1"/>
        <v>233.75495876885043</v>
      </c>
      <c r="F58" s="28">
        <f t="shared" si="2"/>
        <v>148.41584683736536</v>
      </c>
      <c r="G58" s="29">
        <f>'[2]Свод '!$L$58</f>
        <v>123152.52706166889</v>
      </c>
      <c r="H58" s="29">
        <f t="shared" si="3"/>
        <v>1847.2879059250333</v>
      </c>
      <c r="I58" s="29">
        <f t="shared" si="4"/>
        <v>6650.2364613301197</v>
      </c>
      <c r="J58" s="29">
        <f t="shared" si="5"/>
        <v>3879.3046024425703</v>
      </c>
      <c r="K58" s="29">
        <f t="shared" si="6"/>
        <v>2463.0505412333778</v>
      </c>
      <c r="L58" s="29">
        <f t="shared" si="7"/>
        <v>137992.40657260001</v>
      </c>
      <c r="M58" s="42">
        <f>[3]Лист2!$AC$55</f>
        <v>5511.52</v>
      </c>
      <c r="N58" s="43">
        <v>616</v>
      </c>
      <c r="O58" s="43">
        <v>432</v>
      </c>
      <c r="P58" s="31">
        <v>150</v>
      </c>
      <c r="Q58" s="31">
        <v>145</v>
      </c>
      <c r="R58" s="32"/>
      <c r="S58" s="33"/>
      <c r="T58" s="34"/>
      <c r="U58" s="34"/>
      <c r="V58" s="35">
        <f t="shared" si="15"/>
        <v>144846.9265726</v>
      </c>
      <c r="W58" s="36">
        <f>V58/4+1936.8</f>
        <v>38148.531643150003</v>
      </c>
      <c r="X58" s="37"/>
      <c r="Y58" s="36">
        <f t="shared" si="10"/>
        <v>35652.851643150003</v>
      </c>
      <c r="Z58" s="38">
        <f t="shared" si="11"/>
        <v>34833.851643150003</v>
      </c>
      <c r="AA58" s="36">
        <v>36211.73164315</v>
      </c>
      <c r="AB58" s="39">
        <f t="shared" si="12"/>
        <v>787.36</v>
      </c>
      <c r="AC58" s="40">
        <f t="shared" si="13"/>
        <v>144846.96657260001</v>
      </c>
      <c r="AD58" s="38">
        <f t="shared" si="14"/>
        <v>-4.0000000008149073E-2</v>
      </c>
    </row>
    <row r="59" spans="1:30" s="39" customFormat="1" ht="15.75" hidden="1" customHeight="1">
      <c r="A59" s="44">
        <v>51</v>
      </c>
      <c r="B59" s="26" t="s">
        <v>74</v>
      </c>
      <c r="C59" s="28">
        <f>'[1]Свод '!$J$58/1000</f>
        <v>3217.4119115719004</v>
      </c>
      <c r="D59" s="28">
        <f t="shared" si="0"/>
        <v>173.74024322488262</v>
      </c>
      <c r="E59" s="28">
        <f t="shared" si="1"/>
        <v>101.34847521451488</v>
      </c>
      <c r="F59" s="28">
        <f t="shared" si="2"/>
        <v>64.348238231438003</v>
      </c>
      <c r="G59" s="29">
        <f>'[2]Свод '!$L$59</f>
        <v>43841.360347253278</v>
      </c>
      <c r="H59" s="29">
        <f t="shared" si="3"/>
        <v>657.62040520879918</v>
      </c>
      <c r="I59" s="29">
        <f t="shared" si="4"/>
        <v>2367.4334587516769</v>
      </c>
      <c r="J59" s="29">
        <f t="shared" si="5"/>
        <v>1381.0028509384783</v>
      </c>
      <c r="K59" s="29">
        <f t="shared" si="6"/>
        <v>876.82720694506554</v>
      </c>
      <c r="L59" s="29">
        <f t="shared" si="7"/>
        <v>49124.244269097304</v>
      </c>
      <c r="M59" s="42">
        <f>[3]Лист2!$AC$56</f>
        <v>586.08000000000004</v>
      </c>
      <c r="N59" s="43">
        <v>72</v>
      </c>
      <c r="O59" s="43">
        <v>184</v>
      </c>
      <c r="P59" s="31">
        <v>62.5</v>
      </c>
      <c r="Q59" s="31"/>
      <c r="R59" s="32"/>
      <c r="S59" s="33"/>
      <c r="T59" s="34"/>
      <c r="U59" s="34"/>
      <c r="V59" s="35">
        <f t="shared" si="15"/>
        <v>50028.824269097306</v>
      </c>
      <c r="W59" s="36">
        <f t="shared" si="9"/>
        <v>12507.206067274326</v>
      </c>
      <c r="X59" s="37"/>
      <c r="Y59" s="36">
        <f t="shared" si="10"/>
        <v>13179.686067274326</v>
      </c>
      <c r="Z59" s="38">
        <f t="shared" si="11"/>
        <v>12360.686067274326</v>
      </c>
      <c r="AA59" s="36">
        <f>12507.2-526</f>
        <v>11981.2</v>
      </c>
      <c r="AB59" s="39">
        <f t="shared" si="12"/>
        <v>83.72571428571429</v>
      </c>
      <c r="AC59" s="40">
        <f t="shared" si="13"/>
        <v>50028.778201822977</v>
      </c>
      <c r="AD59" s="38">
        <f t="shared" si="14"/>
        <v>4.6067274328379426E-2</v>
      </c>
    </row>
    <row r="60" spans="1:30" s="39" customFormat="1" ht="15.75" hidden="1" customHeight="1">
      <c r="A60" s="44">
        <v>52</v>
      </c>
      <c r="B60" s="26" t="s">
        <v>75</v>
      </c>
      <c r="C60" s="64">
        <f>'[1]Свод '!$J$59/1000</f>
        <v>8821.5752963335181</v>
      </c>
      <c r="D60" s="28">
        <f t="shared" si="0"/>
        <v>476.36506600200994</v>
      </c>
      <c r="E60" s="28">
        <f t="shared" si="1"/>
        <v>277.87962183450583</v>
      </c>
      <c r="F60" s="28">
        <f t="shared" si="2"/>
        <v>176.43150592667035</v>
      </c>
      <c r="G60" s="29">
        <f>'[2]Свод '!$L$60</f>
        <v>156780.99832714666</v>
      </c>
      <c r="H60" s="29">
        <f t="shared" si="3"/>
        <v>2351.7149749072</v>
      </c>
      <c r="I60" s="29">
        <f t="shared" si="4"/>
        <v>8466.1739096659185</v>
      </c>
      <c r="J60" s="29">
        <f t="shared" si="5"/>
        <v>4938.60144730512</v>
      </c>
      <c r="K60" s="29">
        <f t="shared" si="6"/>
        <v>3135.6199665429335</v>
      </c>
      <c r="L60" s="29">
        <f t="shared" si="7"/>
        <v>175673.10862556784</v>
      </c>
      <c r="M60" s="42">
        <v>3584</v>
      </c>
      <c r="N60" s="43">
        <v>1893</v>
      </c>
      <c r="O60" s="43">
        <v>1064</v>
      </c>
      <c r="P60" s="31">
        <v>290</v>
      </c>
      <c r="Q60" s="31">
        <v>165</v>
      </c>
      <c r="R60" s="32">
        <v>987</v>
      </c>
      <c r="S60" s="33"/>
      <c r="T60" s="34"/>
      <c r="U60" s="34"/>
      <c r="V60" s="35">
        <f t="shared" si="15"/>
        <v>183656.10862556784</v>
      </c>
      <c r="W60" s="36">
        <f>V60/4+973</f>
        <v>46887.02715639196</v>
      </c>
      <c r="X60" s="37"/>
      <c r="Y60" s="36">
        <f t="shared" si="10"/>
        <v>45837.02715639196</v>
      </c>
      <c r="Z60" s="38">
        <f t="shared" si="11"/>
        <v>45018.02715639196</v>
      </c>
      <c r="AA60" s="36">
        <v>45914.02715639196</v>
      </c>
      <c r="AB60" s="39">
        <f t="shared" si="12"/>
        <v>512</v>
      </c>
      <c r="AC60" s="40">
        <f t="shared" si="13"/>
        <v>183656.10862556784</v>
      </c>
      <c r="AD60" s="38">
        <f t="shared" si="14"/>
        <v>0</v>
      </c>
    </row>
    <row r="61" spans="1:30" s="39" customFormat="1" ht="15.75" hidden="1" customHeight="1">
      <c r="A61" s="56">
        <v>53</v>
      </c>
      <c r="B61" s="26" t="s">
        <v>76</v>
      </c>
      <c r="C61" s="28">
        <f>'[1]Свод '!$J$68/1000</f>
        <v>1052.6529652704471</v>
      </c>
      <c r="D61" s="28">
        <f t="shared" si="0"/>
        <v>56.843260124604143</v>
      </c>
      <c r="E61" s="28">
        <f t="shared" si="1"/>
        <v>33.158568406019086</v>
      </c>
      <c r="F61" s="28">
        <f t="shared" si="2"/>
        <v>21.053059305408944</v>
      </c>
      <c r="G61" s="29">
        <f>'[2]Свод '!$L$70</f>
        <v>17599.736371483472</v>
      </c>
      <c r="H61" s="29">
        <f t="shared" si="3"/>
        <v>263.99604557225206</v>
      </c>
      <c r="I61" s="29">
        <f t="shared" si="4"/>
        <v>950.38576406010748</v>
      </c>
      <c r="J61" s="29">
        <f t="shared" si="5"/>
        <v>554.39169570172942</v>
      </c>
      <c r="K61" s="29">
        <f t="shared" si="6"/>
        <v>351.99472742966947</v>
      </c>
      <c r="L61" s="29">
        <f t="shared" si="7"/>
        <v>19720.504604247228</v>
      </c>
      <c r="M61" s="42">
        <f>[3]Лист2!$AC$65</f>
        <v>233.84</v>
      </c>
      <c r="N61" s="43">
        <v>101</v>
      </c>
      <c r="O61" s="43">
        <v>184</v>
      </c>
      <c r="P61" s="31">
        <v>62.5</v>
      </c>
      <c r="Q61" s="31"/>
      <c r="R61" s="32"/>
      <c r="S61" s="33"/>
      <c r="T61" s="34"/>
      <c r="U61" s="34"/>
      <c r="V61" s="35">
        <f t="shared" si="15"/>
        <v>20301.844604247228</v>
      </c>
      <c r="W61" s="36">
        <f t="shared" si="9"/>
        <v>5075.461151061807</v>
      </c>
      <c r="X61" s="37"/>
      <c r="Y61" s="36">
        <f t="shared" si="10"/>
        <v>5836.0011510618069</v>
      </c>
      <c r="Z61" s="38">
        <f t="shared" si="11"/>
        <v>5017.0011510618069</v>
      </c>
      <c r="AA61" s="36">
        <f>5075.46-702.1</f>
        <v>4373.3599999999997</v>
      </c>
      <c r="AB61" s="39">
        <f t="shared" si="12"/>
        <v>33.405714285714289</v>
      </c>
      <c r="AC61" s="40">
        <f t="shared" si="13"/>
        <v>20301.823453185421</v>
      </c>
      <c r="AD61" s="38">
        <f t="shared" si="14"/>
        <v>2.1151061806449434E-2</v>
      </c>
    </row>
    <row r="62" spans="1:30" s="39" customFormat="1" ht="15.75" hidden="1" customHeight="1">
      <c r="A62" s="44">
        <v>54</v>
      </c>
      <c r="B62" s="26" t="s">
        <v>77</v>
      </c>
      <c r="C62" s="64">
        <f>'[1]Свод '!$J$61/1000</f>
        <v>1148.8544637297257</v>
      </c>
      <c r="D62" s="28">
        <f t="shared" si="0"/>
        <v>62.038141041405183</v>
      </c>
      <c r="E62" s="28">
        <f t="shared" si="1"/>
        <v>36.188915607486358</v>
      </c>
      <c r="F62" s="28">
        <f t="shared" si="2"/>
        <v>22.977089274594515</v>
      </c>
      <c r="G62" s="29">
        <f>'[2]Свод '!$L$63</f>
        <v>19813.092739648469</v>
      </c>
      <c r="H62" s="29">
        <f t="shared" si="3"/>
        <v>297.19639109472701</v>
      </c>
      <c r="I62" s="29">
        <f t="shared" si="4"/>
        <v>1069.9070079410174</v>
      </c>
      <c r="J62" s="29">
        <f t="shared" si="5"/>
        <v>624.11242129892685</v>
      </c>
      <c r="K62" s="29">
        <f t="shared" si="6"/>
        <v>396.26185479296942</v>
      </c>
      <c r="L62" s="29">
        <f t="shared" si="7"/>
        <v>22200.57041477611</v>
      </c>
      <c r="M62" s="42">
        <v>320</v>
      </c>
      <c r="N62" s="43">
        <v>62</v>
      </c>
      <c r="O62" s="43">
        <f>403.2+92</f>
        <v>495.2</v>
      </c>
      <c r="P62" s="31"/>
      <c r="Q62" s="31"/>
      <c r="R62" s="32"/>
      <c r="S62" s="33"/>
      <c r="T62" s="34"/>
      <c r="U62" s="34"/>
      <c r="V62" s="35">
        <f t="shared" si="15"/>
        <v>23077.770414776111</v>
      </c>
      <c r="W62" s="36">
        <f t="shared" si="9"/>
        <v>5769.4426036940276</v>
      </c>
      <c r="X62" s="37"/>
      <c r="Y62" s="36">
        <f t="shared" si="10"/>
        <v>6508.4426036940276</v>
      </c>
      <c r="Z62" s="38">
        <f t="shared" si="11"/>
        <v>5689.4426036940276</v>
      </c>
      <c r="AA62" s="36">
        <f>5769.44-659</f>
        <v>5110.4399999999996</v>
      </c>
      <c r="AB62" s="39">
        <f t="shared" si="12"/>
        <v>45.714285714285715</v>
      </c>
      <c r="AC62" s="40">
        <f t="shared" si="13"/>
        <v>23077.767811082082</v>
      </c>
      <c r="AD62" s="38">
        <f t="shared" si="14"/>
        <v>2.6036940289486665E-3</v>
      </c>
    </row>
    <row r="63" spans="1:30" s="39" customFormat="1" ht="15.75" hidden="1" customHeight="1">
      <c r="A63" s="44">
        <v>55</v>
      </c>
      <c r="B63" s="26" t="s">
        <v>78</v>
      </c>
      <c r="C63" s="64">
        <f>'[1]Свод '!$J$63/1000</f>
        <v>1032.8425298943091</v>
      </c>
      <c r="D63" s="28">
        <f t="shared" si="0"/>
        <v>55.773496614292689</v>
      </c>
      <c r="E63" s="28">
        <f t="shared" si="1"/>
        <v>32.534539691670737</v>
      </c>
      <c r="F63" s="28">
        <f t="shared" si="2"/>
        <v>20.656850597886184</v>
      </c>
      <c r="G63" s="29">
        <f>'[2]Свод '!$L$65</f>
        <v>17583.355674343467</v>
      </c>
      <c r="H63" s="29">
        <f t="shared" si="3"/>
        <v>263.75033511515198</v>
      </c>
      <c r="I63" s="29">
        <f t="shared" si="4"/>
        <v>949.50120641454714</v>
      </c>
      <c r="J63" s="29">
        <f t="shared" si="5"/>
        <v>553.87570374181928</v>
      </c>
      <c r="K63" s="29">
        <f t="shared" si="6"/>
        <v>351.66711348686937</v>
      </c>
      <c r="L63" s="29">
        <f t="shared" si="7"/>
        <v>19702.150033101858</v>
      </c>
      <c r="M63" s="42">
        <f>[3]Лист2!$AC$59</f>
        <v>331.52000000000004</v>
      </c>
      <c r="N63" s="43">
        <v>153</v>
      </c>
      <c r="O63" s="43">
        <f>132+92</f>
        <v>224</v>
      </c>
      <c r="P63" s="31">
        <v>12.5</v>
      </c>
      <c r="Q63" s="31"/>
      <c r="R63" s="32"/>
      <c r="S63" s="33"/>
      <c r="T63" s="34"/>
      <c r="U63" s="34"/>
      <c r="V63" s="35">
        <f t="shared" si="15"/>
        <v>20423.170033101858</v>
      </c>
      <c r="W63" s="36">
        <f t="shared" si="9"/>
        <v>5105.7925082754646</v>
      </c>
      <c r="X63" s="37"/>
      <c r="Y63" s="36">
        <f t="shared" si="10"/>
        <v>5841.9125082754645</v>
      </c>
      <c r="Z63" s="38">
        <f t="shared" si="11"/>
        <v>5022.9125082754645</v>
      </c>
      <c r="AA63" s="36">
        <f>5105.79-653.2</f>
        <v>4452.59</v>
      </c>
      <c r="AB63" s="39">
        <f t="shared" si="12"/>
        <v>47.360000000000007</v>
      </c>
      <c r="AC63" s="40">
        <f t="shared" si="13"/>
        <v>20423.207524826394</v>
      </c>
      <c r="AD63" s="38">
        <f t="shared" si="14"/>
        <v>-3.7491724535357207E-2</v>
      </c>
    </row>
    <row r="64" spans="1:30" s="39" customFormat="1" ht="15.75" hidden="1" customHeight="1">
      <c r="A64" s="56">
        <v>56</v>
      </c>
      <c r="B64" s="26" t="s">
        <v>79</v>
      </c>
      <c r="C64" s="28">
        <f>'[1]Свод '!$J$62/1000</f>
        <v>1161.6303581651423</v>
      </c>
      <c r="D64" s="28">
        <f t="shared" si="0"/>
        <v>62.72803934091769</v>
      </c>
      <c r="E64" s="28">
        <f t="shared" si="1"/>
        <v>36.591356282201986</v>
      </c>
      <c r="F64" s="28">
        <f t="shared" si="2"/>
        <v>23.232607163302845</v>
      </c>
      <c r="G64" s="29">
        <f>'[2]Свод '!$L$64</f>
        <v>31410.10755623463</v>
      </c>
      <c r="H64" s="29">
        <f t="shared" si="3"/>
        <v>471.15161334351944</v>
      </c>
      <c r="I64" s="29">
        <f t="shared" si="4"/>
        <v>1696.1458080366699</v>
      </c>
      <c r="J64" s="29">
        <f t="shared" si="5"/>
        <v>989.41838802139091</v>
      </c>
      <c r="K64" s="29">
        <f t="shared" si="6"/>
        <v>628.20215112469259</v>
      </c>
      <c r="L64" s="29">
        <f t="shared" si="7"/>
        <v>35195.025516760907</v>
      </c>
      <c r="M64" s="42">
        <f>[3]Лист2!$AC$64</f>
        <v>2134.16</v>
      </c>
      <c r="N64" s="43">
        <v>354</v>
      </c>
      <c r="O64" s="43">
        <f>359.8+92</f>
        <v>451.8</v>
      </c>
      <c r="P64" s="31">
        <v>62.5</v>
      </c>
      <c r="Q64" s="31"/>
      <c r="R64" s="32"/>
      <c r="S64" s="33"/>
      <c r="T64" s="34"/>
      <c r="U64" s="34"/>
      <c r="V64" s="35">
        <f t="shared" si="15"/>
        <v>38197.485516760906</v>
      </c>
      <c r="W64" s="36">
        <f>V64/4+248.1</f>
        <v>9797.4713791902268</v>
      </c>
      <c r="X64" s="37"/>
      <c r="Y64" s="36">
        <f t="shared" si="10"/>
        <v>9834.8313791902274</v>
      </c>
      <c r="Z64" s="38">
        <f t="shared" si="11"/>
        <v>9015.8313791902274</v>
      </c>
      <c r="AA64" s="36">
        <v>9549.3713791902264</v>
      </c>
      <c r="AB64" s="39">
        <f t="shared" si="12"/>
        <v>304.88</v>
      </c>
      <c r="AC64" s="40">
        <f t="shared" si="13"/>
        <v>38197.50551676091</v>
      </c>
      <c r="AD64" s="38">
        <f t="shared" si="14"/>
        <v>-2.0000000004074536E-2</v>
      </c>
    </row>
    <row r="65" spans="1:30" s="39" customFormat="1" ht="15.75" hidden="1" customHeight="1">
      <c r="A65" s="44">
        <v>57</v>
      </c>
      <c r="B65" s="26" t="s">
        <v>80</v>
      </c>
      <c r="C65" s="64">
        <f>'[1]Свод '!$J$67/1000</f>
        <v>1292.3081337484759</v>
      </c>
      <c r="D65" s="28">
        <f t="shared" si="0"/>
        <v>69.784639222417695</v>
      </c>
      <c r="E65" s="28">
        <f t="shared" si="1"/>
        <v>40.707706213076996</v>
      </c>
      <c r="F65" s="28">
        <f t="shared" si="2"/>
        <v>25.84616267496952</v>
      </c>
      <c r="G65" s="29">
        <f>'[2]Свод '!$L$68</f>
        <v>17913.080844208689</v>
      </c>
      <c r="H65" s="29">
        <f t="shared" si="3"/>
        <v>268.69621266313032</v>
      </c>
      <c r="I65" s="29">
        <f t="shared" si="4"/>
        <v>967.30636558726917</v>
      </c>
      <c r="J65" s="29">
        <f t="shared" si="5"/>
        <v>564.26204659257371</v>
      </c>
      <c r="K65" s="29">
        <f t="shared" si="6"/>
        <v>358.2616168841738</v>
      </c>
      <c r="L65" s="29">
        <f t="shared" si="7"/>
        <v>20071.607085935833</v>
      </c>
      <c r="M65" s="42">
        <f>[3]Лист2!$AC$60</f>
        <v>867.28</v>
      </c>
      <c r="N65" s="43">
        <v>95</v>
      </c>
      <c r="O65" s="43">
        <v>132</v>
      </c>
      <c r="P65" s="31"/>
      <c r="Q65" s="31"/>
      <c r="R65" s="32"/>
      <c r="S65" s="33"/>
      <c r="T65" s="34"/>
      <c r="U65" s="34"/>
      <c r="V65" s="35">
        <f t="shared" si="15"/>
        <v>21165.887085935832</v>
      </c>
      <c r="W65" s="36">
        <f t="shared" si="9"/>
        <v>5291.471771483958</v>
      </c>
      <c r="X65" s="37"/>
      <c r="Y65" s="36">
        <f t="shared" si="10"/>
        <v>5893.6517714839583</v>
      </c>
      <c r="Z65" s="38">
        <f t="shared" si="11"/>
        <v>5074.6517714839583</v>
      </c>
      <c r="AA65" s="36">
        <f>5291.47-385.4</f>
        <v>4906.0700000000006</v>
      </c>
      <c r="AB65" s="39">
        <f t="shared" si="12"/>
        <v>123.89714285714285</v>
      </c>
      <c r="AC65" s="40">
        <f t="shared" si="13"/>
        <v>21165.845314451875</v>
      </c>
      <c r="AD65" s="38">
        <f t="shared" si="14"/>
        <v>4.1771483956836164E-2</v>
      </c>
    </row>
    <row r="66" spans="1:30" s="39" customFormat="1" ht="15.75" hidden="1" customHeight="1">
      <c r="A66" s="44">
        <v>58</v>
      </c>
      <c r="B66" s="26" t="s">
        <v>81</v>
      </c>
      <c r="C66" s="28">
        <f>'[1]Свод '!$J$64/1000</f>
        <v>869.21372860378051</v>
      </c>
      <c r="D66" s="28">
        <f t="shared" si="0"/>
        <v>46.937541344604149</v>
      </c>
      <c r="E66" s="28">
        <f t="shared" si="1"/>
        <v>27.38023245101909</v>
      </c>
      <c r="F66" s="28">
        <f t="shared" si="2"/>
        <v>17.384274572075611</v>
      </c>
      <c r="G66" s="29">
        <f>'[2]Свод '!$L$66</f>
        <v>15466.27453648347</v>
      </c>
      <c r="H66" s="29">
        <f t="shared" si="3"/>
        <v>231.99411804725204</v>
      </c>
      <c r="I66" s="29">
        <f t="shared" si="4"/>
        <v>835.17882497010737</v>
      </c>
      <c r="J66" s="29">
        <f t="shared" si="5"/>
        <v>487.18764789922938</v>
      </c>
      <c r="K66" s="29">
        <f t="shared" si="6"/>
        <v>309.32549072966941</v>
      </c>
      <c r="L66" s="29">
        <f t="shared" si="7"/>
        <v>17329.960618129728</v>
      </c>
      <c r="M66" s="42">
        <f>[3]Лист2!$AC$61</f>
        <v>1309.5039999999997</v>
      </c>
      <c r="N66" s="43">
        <v>43</v>
      </c>
      <c r="O66" s="43">
        <v>184</v>
      </c>
      <c r="P66" s="31">
        <v>12.5</v>
      </c>
      <c r="Q66" s="31"/>
      <c r="R66" s="32"/>
      <c r="S66" s="33"/>
      <c r="T66" s="34"/>
      <c r="U66" s="34"/>
      <c r="V66" s="35">
        <f t="shared" si="15"/>
        <v>18878.964618129728</v>
      </c>
      <c r="W66" s="36">
        <f t="shared" si="9"/>
        <v>4719.7411545324321</v>
      </c>
      <c r="X66" s="37"/>
      <c r="Y66" s="36">
        <f t="shared" si="10"/>
        <v>5211.3651545324319</v>
      </c>
      <c r="Z66" s="38">
        <f t="shared" si="11"/>
        <v>4392.3651545324319</v>
      </c>
      <c r="AA66" s="36">
        <f>4719.74-164.2</f>
        <v>4555.54</v>
      </c>
      <c r="AB66" s="39">
        <f t="shared" si="12"/>
        <v>187.07199999999995</v>
      </c>
      <c r="AC66" s="40">
        <f t="shared" si="13"/>
        <v>18879.011463597297</v>
      </c>
      <c r="AD66" s="38">
        <f t="shared" si="14"/>
        <v>-4.6845467568346066E-2</v>
      </c>
    </row>
    <row r="67" spans="1:30" s="39" customFormat="1" ht="15.75" hidden="1" customHeight="1">
      <c r="A67" s="56">
        <v>59</v>
      </c>
      <c r="B67" s="26" t="s">
        <v>82</v>
      </c>
      <c r="C67" s="64">
        <f>'[1]Свод '!$J$65/1000</f>
        <v>1154.8102987829473</v>
      </c>
      <c r="D67" s="28">
        <f t="shared" si="0"/>
        <v>62.359756134279145</v>
      </c>
      <c r="E67" s="28">
        <f t="shared" si="1"/>
        <v>36.376524411662842</v>
      </c>
      <c r="F67" s="28">
        <f t="shared" si="2"/>
        <v>23.096205975658947</v>
      </c>
      <c r="G67" s="29">
        <f>'[2]Свод '!$L$67</f>
        <v>25738.465093093469</v>
      </c>
      <c r="H67" s="29">
        <f t="shared" si="3"/>
        <v>386.07697639640202</v>
      </c>
      <c r="I67" s="29">
        <f t="shared" si="4"/>
        <v>1389.8771150270472</v>
      </c>
      <c r="J67" s="29">
        <f t="shared" si="5"/>
        <v>810.7616504324443</v>
      </c>
      <c r="K67" s="29">
        <f t="shared" si="6"/>
        <v>514.76930186186939</v>
      </c>
      <c r="L67" s="29">
        <f t="shared" si="7"/>
        <v>28839.950136811232</v>
      </c>
      <c r="M67" s="42">
        <v>601</v>
      </c>
      <c r="N67" s="43">
        <v>69</v>
      </c>
      <c r="O67" s="43">
        <v>184</v>
      </c>
      <c r="P67" s="31">
        <v>62.5</v>
      </c>
      <c r="Q67" s="31"/>
      <c r="R67" s="32"/>
      <c r="S67" s="33"/>
      <c r="T67" s="34"/>
      <c r="U67" s="34"/>
      <c r="V67" s="35">
        <f t="shared" si="15"/>
        <v>29756.450136811232</v>
      </c>
      <c r="W67" s="36">
        <f t="shared" si="9"/>
        <v>7439.1125342028081</v>
      </c>
      <c r="X67" s="37"/>
      <c r="Y67" s="36">
        <f t="shared" si="10"/>
        <v>8107.8625342028081</v>
      </c>
      <c r="Z67" s="38">
        <f t="shared" si="11"/>
        <v>7288.8625342028081</v>
      </c>
      <c r="AA67" s="36">
        <f>7439.11-518.5</f>
        <v>6920.61</v>
      </c>
      <c r="AB67" s="39">
        <f t="shared" si="12"/>
        <v>85.857142857142861</v>
      </c>
      <c r="AC67" s="40">
        <f t="shared" si="13"/>
        <v>29756.447602608423</v>
      </c>
      <c r="AD67" s="38">
        <f t="shared" si="14"/>
        <v>2.5342028093291447E-3</v>
      </c>
    </row>
    <row r="68" spans="1:30" s="39" customFormat="1" ht="18.75" hidden="1" customHeight="1">
      <c r="A68" s="44">
        <v>60</v>
      </c>
      <c r="B68" s="26" t="s">
        <v>83</v>
      </c>
      <c r="C68" s="28">
        <f>'[1]Свод '!$J$60/1000</f>
        <v>1565.6191166996141</v>
      </c>
      <c r="D68" s="28">
        <f t="shared" si="0"/>
        <v>84.543432301779163</v>
      </c>
      <c r="E68" s="28">
        <f t="shared" si="1"/>
        <v>49.317002176037853</v>
      </c>
      <c r="F68" s="28">
        <f t="shared" si="2"/>
        <v>31.312382333992282</v>
      </c>
      <c r="G68" s="29">
        <f>'[2]Свод '!$L$62</f>
        <v>25779.394020106036</v>
      </c>
      <c r="H68" s="29">
        <f t="shared" si="3"/>
        <v>386.69091030159052</v>
      </c>
      <c r="I68" s="29">
        <f t="shared" si="4"/>
        <v>1392.0872770857259</v>
      </c>
      <c r="J68" s="29">
        <f t="shared" si="5"/>
        <v>812.05091163334021</v>
      </c>
      <c r="K68" s="29">
        <f t="shared" si="6"/>
        <v>515.58788040212073</v>
      </c>
      <c r="L68" s="29">
        <f t="shared" si="7"/>
        <v>28885.810999528814</v>
      </c>
      <c r="M68" s="42">
        <f>[3]Лист2!$AC$63</f>
        <v>1217.152</v>
      </c>
      <c r="N68" s="43">
        <v>78</v>
      </c>
      <c r="O68" s="43">
        <f>416.6+208+184</f>
        <v>808.6</v>
      </c>
      <c r="P68" s="31">
        <v>75</v>
      </c>
      <c r="Q68" s="31">
        <v>145</v>
      </c>
      <c r="R68" s="32"/>
      <c r="S68" s="33"/>
      <c r="T68" s="34"/>
      <c r="U68" s="34"/>
      <c r="V68" s="35">
        <f t="shared" si="15"/>
        <v>31209.562999528811</v>
      </c>
      <c r="W68" s="36">
        <f t="shared" si="9"/>
        <v>7802.3907498822027</v>
      </c>
      <c r="X68" s="37"/>
      <c r="Y68" s="36">
        <f t="shared" si="10"/>
        <v>8317.1027498822041</v>
      </c>
      <c r="Z68" s="38">
        <f t="shared" si="11"/>
        <v>7498.1027498822032</v>
      </c>
      <c r="AA68" s="36">
        <f>7802.39-210.4</f>
        <v>7591.9900000000007</v>
      </c>
      <c r="AB68" s="39">
        <f t="shared" si="12"/>
        <v>173.87885714285716</v>
      </c>
      <c r="AC68" s="40">
        <f t="shared" si="13"/>
        <v>31209.586249646611</v>
      </c>
      <c r="AD68" s="38">
        <f t="shared" si="14"/>
        <v>-2.3250117799761938E-2</v>
      </c>
    </row>
    <row r="69" spans="1:30" s="39" customFormat="1" ht="18" hidden="1" customHeight="1">
      <c r="A69" s="44">
        <v>61</v>
      </c>
      <c r="B69" s="65" t="s">
        <v>84</v>
      </c>
      <c r="C69" s="28">
        <f>'[1]Свод '!$I$77/1000</f>
        <v>5328.1502674687508</v>
      </c>
      <c r="D69" s="28">
        <f t="shared" si="0"/>
        <v>287.72011444331253</v>
      </c>
      <c r="E69" s="28">
        <f t="shared" si="1"/>
        <v>167.83673342526566</v>
      </c>
      <c r="F69" s="28">
        <f t="shared" si="2"/>
        <v>106.56300534937502</v>
      </c>
      <c r="G69" s="29">
        <f>8490*12</f>
        <v>101880</v>
      </c>
      <c r="H69" s="29">
        <f t="shared" si="3"/>
        <v>1528.2</v>
      </c>
      <c r="I69" s="29">
        <f>(G69-G69*10%)*6%</f>
        <v>5501.5199999999995</v>
      </c>
      <c r="J69" s="29">
        <f>(G69-G69*10%)*3.5%</f>
        <v>3209.2200000000003</v>
      </c>
      <c r="K69" s="29">
        <f t="shared" si="6"/>
        <v>2037.6000000000001</v>
      </c>
      <c r="L69" s="29">
        <f t="shared" si="7"/>
        <v>114156.54000000001</v>
      </c>
      <c r="M69" s="42"/>
      <c r="N69" s="43">
        <v>2091</v>
      </c>
      <c r="O69" s="43">
        <f>3182+3753</f>
        <v>6935</v>
      </c>
      <c r="P69" s="31"/>
      <c r="Q69" s="31"/>
      <c r="R69" s="32"/>
      <c r="S69" s="33"/>
      <c r="T69" s="34"/>
      <c r="U69" s="34"/>
      <c r="V69" s="35">
        <f>L69+M69+N69+O69+P69+S69+R69+T69+U69+Q69</f>
        <v>123182.54000000001</v>
      </c>
      <c r="W69" s="36">
        <f t="shared" si="9"/>
        <v>30795.635000000002</v>
      </c>
      <c r="X69" s="37"/>
      <c r="Y69" s="36">
        <f t="shared" si="10"/>
        <v>31614.635000000002</v>
      </c>
      <c r="Z69" s="38">
        <f t="shared" si="11"/>
        <v>30795.635000000002</v>
      </c>
      <c r="AA69" s="36">
        <f>30795.63-819</f>
        <v>29976.63</v>
      </c>
      <c r="AB69" s="39">
        <f t="shared" si="12"/>
        <v>0</v>
      </c>
      <c r="AC69" s="40">
        <f t="shared" si="13"/>
        <v>123182.535</v>
      </c>
      <c r="AD69" s="38">
        <f t="shared" si="14"/>
        <v>5.0000000046566129E-3</v>
      </c>
    </row>
    <row r="70" spans="1:30" s="39" customFormat="1" ht="19.5" hidden="1" customHeight="1">
      <c r="A70" s="56">
        <v>62</v>
      </c>
      <c r="B70" s="65" t="s">
        <v>85</v>
      </c>
      <c r="C70" s="28">
        <f>'[1]Свод '!$J$69/1000</f>
        <v>4058.4899515520833</v>
      </c>
      <c r="D70" s="28">
        <f t="shared" si="0"/>
        <v>219.1584573838125</v>
      </c>
      <c r="E70" s="28">
        <f t="shared" si="1"/>
        <v>127.84243347389064</v>
      </c>
      <c r="F70" s="28">
        <f t="shared" si="2"/>
        <v>81.169799031041663</v>
      </c>
      <c r="G70" s="29">
        <f>'[2]Свод '!$L$72</f>
        <v>83328.959049375</v>
      </c>
      <c r="H70" s="29">
        <f>G70*1.5%</f>
        <v>1249.934385740625</v>
      </c>
      <c r="I70" s="29">
        <f>(G70-G70*10%)*6%</f>
        <v>4499.7637886662496</v>
      </c>
      <c r="J70" s="29">
        <f>(G70-G70*10%)*3.5%</f>
        <v>2624.862210055313</v>
      </c>
      <c r="K70" s="29">
        <f t="shared" si="6"/>
        <v>1666.5791809875</v>
      </c>
      <c r="L70" s="29">
        <f t="shared" si="7"/>
        <v>93370.098614824688</v>
      </c>
      <c r="M70" s="42"/>
      <c r="N70" s="43"/>
      <c r="O70" s="43"/>
      <c r="P70" s="31"/>
      <c r="Q70" s="31"/>
      <c r="R70" s="32"/>
      <c r="S70" s="33"/>
      <c r="T70" s="34"/>
      <c r="U70" s="34"/>
      <c r="V70" s="35">
        <f>L70+M70+N70+O70+P70+S70+R70+T70+U70+Q70</f>
        <v>93370.098614824688</v>
      </c>
      <c r="W70" s="36">
        <f t="shared" si="9"/>
        <v>23342.524653706172</v>
      </c>
      <c r="X70" s="37"/>
      <c r="Y70" s="36">
        <f t="shared" si="10"/>
        <v>24161.524653706172</v>
      </c>
      <c r="Z70" s="38">
        <f t="shared" si="11"/>
        <v>23342.524653706172</v>
      </c>
      <c r="AA70" s="36">
        <f>23342.52-819</f>
        <v>22523.52</v>
      </c>
      <c r="AB70" s="39">
        <f t="shared" si="12"/>
        <v>0</v>
      </c>
      <c r="AC70" s="40">
        <f t="shared" si="13"/>
        <v>93370.093961118517</v>
      </c>
      <c r="AD70" s="38">
        <f t="shared" si="14"/>
        <v>4.653706171666272E-3</v>
      </c>
    </row>
    <row r="71" spans="1:30" s="68" customFormat="1" ht="27" hidden="1" customHeight="1">
      <c r="A71" s="97" t="s">
        <v>86</v>
      </c>
      <c r="B71" s="98"/>
      <c r="C71" s="66">
        <f>SUM(C8:C70)</f>
        <v>424195.20585455222</v>
      </c>
      <c r="D71" s="28">
        <f>(C71-C71*10%)*6%</f>
        <v>22906.541116145818</v>
      </c>
      <c r="E71" s="28">
        <f>(C71-C71*10%)*3.5%</f>
        <v>13362.148984418396</v>
      </c>
      <c r="F71" s="28">
        <f>C71*2%</f>
        <v>8483.9041170910441</v>
      </c>
      <c r="G71" s="67">
        <f>SUM(G8:G70)</f>
        <v>7388151.2048310507</v>
      </c>
      <c r="H71" s="29">
        <f t="shared" si="3"/>
        <v>110822.26807246575</v>
      </c>
      <c r="I71" s="67">
        <f>SUM(I8:I70)</f>
        <v>398960.16506087681</v>
      </c>
      <c r="J71" s="67">
        <f>SUM(J8:J70)</f>
        <v>232726.76295217805</v>
      </c>
      <c r="K71" s="67">
        <f>SUM(K8:K70)</f>
        <v>147763.02409662103</v>
      </c>
      <c r="L71" s="29">
        <f>G71+I71+J71+K71+H71</f>
        <v>8278423.425013192</v>
      </c>
      <c r="M71" s="67">
        <f t="shared" ref="M71" si="16">SUM(M8:M70)</f>
        <v>263481.19199999992</v>
      </c>
      <c r="N71" s="67">
        <f>SUM(N8:N70)</f>
        <v>60523.085860000007</v>
      </c>
      <c r="O71" s="67">
        <f t="shared" ref="O71:U71" si="17">SUM(O8:O70)</f>
        <v>47975.30000000001</v>
      </c>
      <c r="P71" s="67">
        <f>SUM(P8:P70)</f>
        <v>7593.5</v>
      </c>
      <c r="Q71" s="67">
        <f>SUM(Q8:Q70)</f>
        <v>2297</v>
      </c>
      <c r="R71" s="67">
        <f>SUM(R8:R70)</f>
        <v>20184.95</v>
      </c>
      <c r="S71" s="67">
        <f t="shared" si="17"/>
        <v>0</v>
      </c>
      <c r="T71" s="67">
        <f t="shared" si="17"/>
        <v>0</v>
      </c>
      <c r="U71" s="67">
        <f t="shared" si="17"/>
        <v>0</v>
      </c>
      <c r="V71" s="22">
        <f>L71+M71+N71+O71+P71+S71+R71+T71+U71+Q71</f>
        <v>8680478.4528731927</v>
      </c>
      <c r="W71" s="22"/>
      <c r="X71" s="22"/>
      <c r="Y71" s="22"/>
      <c r="Z71" s="22"/>
      <c r="AA71" s="22"/>
      <c r="AC71" s="40">
        <f t="shared" si="13"/>
        <v>0</v>
      </c>
      <c r="AD71" s="69"/>
    </row>
    <row r="72" spans="1:30" s="39" customFormat="1" ht="19.5" hidden="1" customHeight="1">
      <c r="A72" s="70"/>
      <c r="B72" s="70"/>
      <c r="C72" s="71"/>
      <c r="D72" s="71"/>
      <c r="E72" s="71"/>
      <c r="F72" s="71"/>
      <c r="G72" s="72"/>
      <c r="H72" s="72"/>
      <c r="I72" s="72"/>
      <c r="J72" s="72"/>
      <c r="K72" s="72"/>
      <c r="L72" s="72"/>
      <c r="M72" s="73"/>
      <c r="N72" s="73"/>
      <c r="O72" s="74"/>
      <c r="P72" s="75"/>
      <c r="Q72" s="75"/>
      <c r="R72" s="74"/>
      <c r="S72" s="74"/>
      <c r="T72" s="74"/>
      <c r="U72" s="74"/>
      <c r="V72" s="76" t="s">
        <v>87</v>
      </c>
    </row>
    <row r="73" spans="1:30" ht="18.75">
      <c r="A73" s="77"/>
      <c r="B73" s="78"/>
      <c r="C73" s="79"/>
      <c r="D73" s="79"/>
      <c r="E73" s="79"/>
      <c r="F73" s="79"/>
      <c r="G73" s="99"/>
      <c r="H73" s="99"/>
      <c r="I73" s="80"/>
      <c r="J73" s="80"/>
      <c r="K73" s="80"/>
      <c r="L73" s="72"/>
      <c r="M73" s="72"/>
      <c r="N73" s="72"/>
      <c r="O73" s="74"/>
      <c r="P73" s="74"/>
      <c r="Q73" s="74"/>
      <c r="R73" s="74"/>
      <c r="S73" s="74"/>
      <c r="T73" s="74"/>
      <c r="U73" s="74"/>
      <c r="V73" s="76"/>
    </row>
    <row r="74" spans="1:30" ht="18.75">
      <c r="A74" s="77"/>
      <c r="B74" s="77"/>
      <c r="C74" s="81"/>
      <c r="D74" s="81"/>
      <c r="E74" s="81"/>
      <c r="F74" s="81"/>
      <c r="G74" s="82"/>
      <c r="H74" s="82"/>
      <c r="I74" s="82"/>
      <c r="J74" s="82"/>
      <c r="K74" s="82"/>
      <c r="L74" s="72"/>
      <c r="M74" s="72"/>
      <c r="N74" s="74"/>
      <c r="O74" s="72"/>
      <c r="P74" s="74"/>
      <c r="Q74" s="74"/>
      <c r="R74" s="74"/>
      <c r="S74" s="74"/>
      <c r="T74" s="74"/>
      <c r="U74" s="74"/>
      <c r="V74" s="76"/>
    </row>
    <row r="75" spans="1:30" ht="15.75">
      <c r="A75" s="83"/>
      <c r="B75" s="84"/>
      <c r="C75" s="85"/>
      <c r="D75" s="85"/>
      <c r="E75" s="85"/>
      <c r="F75" s="85"/>
      <c r="G75" s="86"/>
      <c r="H75" s="86"/>
      <c r="I75" s="86"/>
      <c r="J75" s="86"/>
      <c r="K75" s="86"/>
      <c r="L75" s="86"/>
      <c r="M75" s="86"/>
      <c r="N75" s="72"/>
      <c r="O75" s="74"/>
      <c r="P75" s="74"/>
      <c r="Q75" s="74"/>
      <c r="R75" s="74"/>
      <c r="S75" s="74"/>
      <c r="T75" s="74"/>
      <c r="U75" s="74"/>
      <c r="V75" s="76"/>
    </row>
    <row r="76" spans="1:30" ht="15.75">
      <c r="A76" s="83"/>
      <c r="B76" s="84"/>
      <c r="C76" s="85"/>
      <c r="D76" s="85"/>
      <c r="E76" s="85"/>
      <c r="F76" s="85"/>
      <c r="G76" s="86"/>
      <c r="H76" s="86"/>
      <c r="I76" s="86"/>
      <c r="J76" s="86"/>
      <c r="K76" s="86"/>
      <c r="L76" s="86"/>
      <c r="M76" s="86"/>
      <c r="N76" s="74"/>
      <c r="O76" s="74"/>
      <c r="P76" s="74"/>
      <c r="Q76" s="74"/>
      <c r="R76" s="74"/>
      <c r="S76" s="74"/>
      <c r="T76" s="74"/>
      <c r="U76" s="74"/>
      <c r="V76" s="76"/>
    </row>
    <row r="77" spans="1:30" ht="15.75">
      <c r="A77" s="83"/>
      <c r="B77" s="83"/>
      <c r="C77" s="87"/>
      <c r="D77" s="87"/>
      <c r="E77" s="87"/>
      <c r="F77" s="87"/>
      <c r="G77" s="72"/>
      <c r="H77" s="72"/>
      <c r="I77" s="72"/>
      <c r="J77" s="72"/>
      <c r="K77" s="72"/>
      <c r="L77" s="72"/>
      <c r="M77" s="72"/>
      <c r="N77" s="72"/>
      <c r="O77" s="74"/>
      <c r="P77" s="74"/>
      <c r="Q77" s="74"/>
      <c r="R77" s="74"/>
      <c r="S77" s="74"/>
      <c r="T77" s="74"/>
      <c r="U77" s="74"/>
      <c r="V77" s="76"/>
    </row>
    <row r="78" spans="1:30">
      <c r="N78" s="89"/>
    </row>
    <row r="79" spans="1:30">
      <c r="N79" s="89"/>
    </row>
  </sheetData>
  <autoFilter ref="A3:AD72">
    <filterColumn colId="1">
      <filters>
        <filter val="КГУ ОСШ с.Иглик"/>
      </filters>
    </filterColumn>
    <filterColumn colId="8" showButton="0"/>
    <filterColumn colId="9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20">
    <mergeCell ref="B1:K1"/>
    <mergeCell ref="B2:P2"/>
    <mergeCell ref="I3:K3"/>
    <mergeCell ref="L3:L7"/>
    <mergeCell ref="M3:R3"/>
    <mergeCell ref="A71:B71"/>
    <mergeCell ref="G73:H73"/>
    <mergeCell ref="AA3:AA7"/>
    <mergeCell ref="B4:J4"/>
    <mergeCell ref="D6:F6"/>
    <mergeCell ref="I6:K6"/>
    <mergeCell ref="M6:Q6"/>
    <mergeCell ref="R6:R7"/>
    <mergeCell ref="T3:T7"/>
    <mergeCell ref="U3:U7"/>
    <mergeCell ref="V3:V7"/>
    <mergeCell ref="W3:W7"/>
    <mergeCell ref="Y3:Y7"/>
    <mergeCell ref="Z3:Z7"/>
    <mergeCell ref="S3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2024-02-15T04:24:35Z</dcterms:modified>
</cp:coreProperties>
</file>