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160" windowHeight="10500"/>
  </bookViews>
  <sheets>
    <sheet name="16.10.2024" sheetId="1" r:id="rId1"/>
    <sheet name="РОО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'16.10.2024'!$B$1:$B$26</definedName>
  </definedNames>
  <calcPr calcId="124519"/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G9"/>
  <c r="G8"/>
  <c r="K9" l="1"/>
  <c r="K10"/>
  <c r="K11"/>
  <c r="K12"/>
  <c r="K13"/>
  <c r="K14"/>
  <c r="K15"/>
  <c r="K16"/>
  <c r="K8"/>
  <c r="I9"/>
  <c r="I10"/>
  <c r="I11"/>
  <c r="I12"/>
  <c r="I13"/>
  <c r="I14"/>
  <c r="I15"/>
  <c r="I16"/>
  <c r="H9"/>
  <c r="H10"/>
  <c r="H11"/>
  <c r="H12"/>
  <c r="H13"/>
  <c r="H14"/>
  <c r="H15"/>
  <c r="H16"/>
  <c r="I8"/>
  <c r="H8"/>
  <c r="G17"/>
  <c r="I17" l="1"/>
  <c r="K17"/>
  <c r="H17"/>
  <c r="P9" i="2"/>
  <c r="AD11" l="1"/>
  <c r="V11"/>
  <c r="U11"/>
  <c r="T11"/>
  <c r="R11"/>
  <c r="Q11"/>
  <c r="AC9"/>
  <c r="AB9"/>
  <c r="H9"/>
  <c r="J9" s="1"/>
  <c r="D9"/>
  <c r="F9" s="1"/>
  <c r="O11"/>
  <c r="S11"/>
  <c r="P11"/>
  <c r="N11"/>
  <c r="G9" l="1"/>
  <c r="I9"/>
  <c r="K9"/>
  <c r="M9" s="1"/>
  <c r="E9"/>
  <c r="L9"/>
  <c r="L11" s="1"/>
  <c r="D11"/>
  <c r="H11"/>
  <c r="M17" i="1"/>
  <c r="W17" s="1"/>
  <c r="J17"/>
  <c r="L17" s="1"/>
  <c r="C17"/>
  <c r="D17" s="1"/>
  <c r="R16"/>
  <c r="O16"/>
  <c r="M16"/>
  <c r="W16" s="1"/>
  <c r="J16"/>
  <c r="L16" s="1"/>
  <c r="C16"/>
  <c r="D16" s="1"/>
  <c r="O15"/>
  <c r="M15"/>
  <c r="W15" s="1"/>
  <c r="C15"/>
  <c r="F15" s="1"/>
  <c r="M14"/>
  <c r="W14" s="1"/>
  <c r="J14"/>
  <c r="L14" s="1"/>
  <c r="C14"/>
  <c r="F14" s="1"/>
  <c r="O13"/>
  <c r="M13"/>
  <c r="W13" s="1"/>
  <c r="C13"/>
  <c r="F13" s="1"/>
  <c r="O12"/>
  <c r="M12"/>
  <c r="W12" s="1"/>
  <c r="C12"/>
  <c r="E12" s="1"/>
  <c r="R11"/>
  <c r="M11"/>
  <c r="W11" s="1"/>
  <c r="C11"/>
  <c r="F11" s="1"/>
  <c r="W10"/>
  <c r="O10"/>
  <c r="J10"/>
  <c r="L10" s="1"/>
  <c r="F10"/>
  <c r="E10"/>
  <c r="D10"/>
  <c r="W9"/>
  <c r="R9"/>
  <c r="O9"/>
  <c r="C9"/>
  <c r="F9" s="1"/>
  <c r="O8"/>
  <c r="M8"/>
  <c r="C8"/>
  <c r="E8" s="1"/>
  <c r="D15" l="1"/>
  <c r="D11"/>
  <c r="E14"/>
  <c r="F17"/>
  <c r="D9"/>
  <c r="F8"/>
  <c r="E9"/>
  <c r="E11"/>
  <c r="D12"/>
  <c r="E17"/>
  <c r="E15"/>
  <c r="F12"/>
  <c r="Z9" i="2"/>
  <c r="W9"/>
  <c r="X9" s="1"/>
  <c r="AA9"/>
  <c r="K11"/>
  <c r="I11"/>
  <c r="G11"/>
  <c r="F11"/>
  <c r="E11"/>
  <c r="J11"/>
  <c r="J13" i="1"/>
  <c r="L13" s="1"/>
  <c r="J8"/>
  <c r="J9"/>
  <c r="L9" s="1"/>
  <c r="J12"/>
  <c r="L12" s="1"/>
  <c r="D13"/>
  <c r="D14"/>
  <c r="E13"/>
  <c r="D8"/>
  <c r="J11"/>
  <c r="L11" s="1"/>
  <c r="J15"/>
  <c r="L15" s="1"/>
  <c r="E16"/>
  <c r="W8"/>
  <c r="F16"/>
  <c r="V10" l="1"/>
  <c r="L8"/>
  <c r="V8" s="1"/>
  <c r="V11"/>
  <c r="AD9" i="2"/>
  <c r="AE9" s="1"/>
  <c r="M11"/>
  <c r="W11" s="1"/>
  <c r="V17" i="1"/>
  <c r="V9"/>
  <c r="V15"/>
  <c r="V14"/>
  <c r="V12" l="1"/>
  <c r="X10"/>
  <c r="Y10" s="1"/>
  <c r="X17"/>
  <c r="Y17" s="1"/>
  <c r="V16"/>
  <c r="V13"/>
  <c r="X14"/>
  <c r="Y14" s="1"/>
  <c r="X8" l="1"/>
  <c r="Y8" s="1"/>
  <c r="X12"/>
  <c r="Y12" s="1"/>
  <c r="X9"/>
  <c r="Y9" s="1"/>
  <c r="X15"/>
  <c r="Y15" s="1"/>
  <c r="X11"/>
  <c r="Y11" s="1"/>
  <c r="X13"/>
  <c r="Y13" s="1"/>
  <c r="X16"/>
  <c r="Y16" s="1"/>
  <c r="X18" l="1"/>
</calcChain>
</file>

<file path=xl/sharedStrings.xml><?xml version="1.0" encoding="utf-8"?>
<sst xmlns="http://schemas.openxmlformats.org/spreadsheetml/2006/main" count="56" uniqueCount="40">
  <si>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</si>
  <si>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</si>
  <si>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</si>
  <si>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</si>
  <si>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</si>
  <si>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</si>
  <si>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</si>
  <si>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1 квартал</t>
  </si>
  <si>
    <t xml:space="preserve">2 квартал </t>
  </si>
  <si>
    <t>3 квартал</t>
  </si>
  <si>
    <t xml:space="preserve">4 квартал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</si>
  <si>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</si>
  <si>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</si>
  <si>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</si>
  <si>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</si>
  <si>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</si>
  <si>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</si>
  <si>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</si>
  <si>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</si>
  <si>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</si>
  <si>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</si>
  <si>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</si>
  <si>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ОСШ  с.Конысбай</t>
  </si>
  <si>
    <t>КГУ ОСШ с.Айдабул</t>
  </si>
  <si>
    <t>КГУ ОСШ с.Акколь</t>
  </si>
  <si>
    <t>КГУ ОСШ с.Акадыр</t>
  </si>
  <si>
    <t>КГУ ОСШ с.Алексеевка №1</t>
  </si>
  <si>
    <t>КГУ ОСШ с.Еликты</t>
  </si>
  <si>
    <t>КГУ ОСШ с.Бирлестык</t>
  </si>
  <si>
    <t>КГУ ОСШ с.Викторовка</t>
  </si>
  <si>
    <t>КГУ ОСШ с.Алексеевка №2</t>
  </si>
  <si>
    <t>КГУ ОСШ с.Иглик</t>
  </si>
  <si>
    <t xml:space="preserve">ГУ Отдел образования </t>
  </si>
  <si>
    <t>ИТОГО:</t>
  </si>
  <si>
    <t>тыс.т.</t>
  </si>
  <si>
    <t>Руководитель</t>
  </si>
  <si>
    <t>Кенжеболатова Д.Ш.</t>
  </si>
  <si>
    <t xml:space="preserve">Информация по открытым бюджетам по  Отделу образования   за 2024 год </t>
  </si>
  <si>
    <t xml:space="preserve">Сводная информация  по школам по открытым бюджетам  за 2024 год </t>
  </si>
  <si>
    <t xml:space="preserve">ГСМ /144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</si>
</sst>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2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8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0" fontId="10" fillId="2" borderId="10" xfId="0" applyFont="1" applyFill="1" applyBorder="1"/>
    <xf numFmtId="2" fontId="11" fillId="2" borderId="6" xfId="1" applyNumberFormat="1" applyFont="1" applyFill="1" applyBorder="1" applyAlignment="1">
      <alignment vertical="top" wrapText="1"/>
    </xf>
    <xf numFmtId="164" fontId="11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165" fontId="9" fillId="2" borderId="11" xfId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2" xfId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center" wrapText="1"/>
    </xf>
    <xf numFmtId="164" fontId="11" fillId="2" borderId="6" xfId="1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top" wrapText="1"/>
    </xf>
    <xf numFmtId="165" fontId="11" fillId="2" borderId="13" xfId="1" applyFont="1" applyFill="1" applyBorder="1" applyAlignment="1">
      <alignment vertical="top" wrapText="1"/>
    </xf>
    <xf numFmtId="164" fontId="13" fillId="2" borderId="6" xfId="1" applyNumberFormat="1" applyFont="1" applyFill="1" applyBorder="1" applyAlignment="1"/>
    <xf numFmtId="0" fontId="14" fillId="2" borderId="0" xfId="0" applyFont="1" applyFill="1"/>
    <xf numFmtId="164" fontId="14" fillId="2" borderId="6" xfId="0" applyNumberFormat="1" applyFont="1" applyFill="1" applyBorder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3" fontId="16" fillId="2" borderId="0" xfId="0" applyNumberFormat="1" applyFont="1" applyFill="1" applyAlignment="1">
      <alignment horizontal="center"/>
    </xf>
    <xf numFmtId="164" fontId="15" fillId="0" borderId="0" xfId="0" applyNumberFormat="1" applyFont="1"/>
    <xf numFmtId="3" fontId="15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2" fillId="0" borderId="0" xfId="0" applyFont="1" applyAlignment="1"/>
    <xf numFmtId="3" fontId="17" fillId="2" borderId="0" xfId="0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 applyBorder="1" applyAlignment="1">
      <alignment horizontal="center"/>
    </xf>
    <xf numFmtId="14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165" fontId="19" fillId="2" borderId="12" xfId="1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 wrapText="1"/>
    </xf>
    <xf numFmtId="3" fontId="12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/>
    <xf numFmtId="0" fontId="17" fillId="2" borderId="6" xfId="0" applyFont="1" applyFill="1" applyBorder="1"/>
    <xf numFmtId="164" fontId="17" fillId="2" borderId="6" xfId="0" applyNumberFormat="1" applyFont="1" applyFill="1" applyBorder="1"/>
    <xf numFmtId="0" fontId="17" fillId="2" borderId="0" xfId="0" applyFont="1" applyFill="1"/>
    <xf numFmtId="4" fontId="17" fillId="2" borderId="0" xfId="0" applyNumberFormat="1" applyFont="1" applyFill="1"/>
    <xf numFmtId="165" fontId="10" fillId="2" borderId="12" xfId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/>
    </xf>
    <xf numFmtId="0" fontId="18" fillId="2" borderId="0" xfId="0" applyFont="1" applyFill="1"/>
    <xf numFmtId="164" fontId="18" fillId="2" borderId="6" xfId="0" applyNumberFormat="1" applyFont="1" applyFill="1" applyBorder="1"/>
    <xf numFmtId="0" fontId="12" fillId="2" borderId="0" xfId="0" applyFont="1" applyFill="1"/>
    <xf numFmtId="164" fontId="12" fillId="2" borderId="0" xfId="0" applyNumberFormat="1" applyFont="1" applyFill="1"/>
    <xf numFmtId="3" fontId="12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164" fontId="17" fillId="2" borderId="6" xfId="0" applyNumberFormat="1" applyFont="1" applyFill="1" applyBorder="1" applyAlignment="1">
      <alignment horizontal="center"/>
    </xf>
    <xf numFmtId="0" fontId="18" fillId="0" borderId="6" xfId="0" applyFont="1" applyBorder="1" applyAlignment="1">
      <alignment vertical="center" wrapText="1"/>
    </xf>
    <xf numFmtId="0" fontId="10" fillId="3" borderId="10" xfId="0" applyFont="1" applyFill="1" applyBorder="1"/>
    <xf numFmtId="0" fontId="4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4" fillId="3" borderId="9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13" fillId="2" borderId="13" xfId="1" applyFont="1" applyFill="1" applyBorder="1" applyAlignment="1">
      <alignment horizontal="center"/>
    </xf>
    <xf numFmtId="165" fontId="13" fillId="2" borderId="14" xfId="1" applyFont="1" applyFill="1" applyBorder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9.2024&#1075;%20&#1058;&#1040;&#1056;&#1048;&#1060;&#1048;&#1050;&#1040;&#1062;&#1048;&#1071;%202024&#1075;&#1075;%20&#8212;/01.09.&#1064;&#1058;&#1040;&#1058;&#1053;&#1054;&#1045;%20&#1064;&#1050;&#1054;&#1051;&#1067;%20&#1055;&#1054;&#1057;&#1051;&#1045;&#1044;&#1053;&#1048;&#1049;%20%20(&#1040;&#1074;&#1090;&#1086;&#1089;&#1086;&#1093;&#1088;&#1072;&#1085;&#1077;&#1085;&#1085;&#1099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2;&#1054;&#1048;%20&#1076;&#1086;&#1082;&#1091;&#1084;&#1077;&#1085;&#1090;&#1099;/&#1087;&#1077;&#1088;&#1077;&#1093;&#1086;&#1076;%20&#1085;&#1072;%20&#1091;&#1075;&#1086;&#1083;&#1100;%2025.05.2022&#1075;/&#1056;&#1072;&#1089;&#1095;&#1077;&#1090;%20&#1091;&#1075;&#1083;&#1103;%20&#1085;&#1072;%202023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20">
          <cell r="J20">
            <v>5306275.8012449741</v>
          </cell>
        </row>
        <row r="77">
          <cell r="I77">
            <v>5328150.2674687505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"/>
      <sheetName val="Абай"/>
      <sheetName val="Акколь инклюз"/>
      <sheetName val="Акколь"/>
      <sheetName val="Акадыр"/>
      <sheetName val="Алексеевка"/>
      <sheetName val="Викторовская"/>
      <sheetName val="Еликты"/>
      <sheetName val="Бирлестык"/>
      <sheetName val=".Еленовка"/>
      <sheetName val="Долом"/>
      <sheetName val="ЗСШ №1"/>
      <sheetName val=" ЗКСШ "/>
      <sheetName val=" ЗСШ №2"/>
      <sheetName val="Исаковка 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ное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  <sheetName val="113 разрядники"/>
      <sheetName val="интернат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7">
          <cell r="L7">
            <v>220041.39511274965</v>
          </cell>
        </row>
        <row r="8">
          <cell r="L8">
            <v>194203.78294095004</v>
          </cell>
        </row>
        <row r="9">
          <cell r="L9">
            <v>136985.4294746792</v>
          </cell>
        </row>
        <row r="10">
          <cell r="L10">
            <v>155556.0151411012</v>
          </cell>
        </row>
        <row r="11">
          <cell r="L11">
            <v>267567.84834578534</v>
          </cell>
        </row>
        <row r="12">
          <cell r="L12">
            <v>180221.56577603417</v>
          </cell>
        </row>
        <row r="13">
          <cell r="L13">
            <v>131013.04348395864</v>
          </cell>
        </row>
        <row r="15">
          <cell r="L15">
            <v>235345.19637271608</v>
          </cell>
        </row>
        <row r="17">
          <cell r="L17">
            <v>138942.13293177038</v>
          </cell>
        </row>
        <row r="22">
          <cell r="L22">
            <v>253978</v>
          </cell>
        </row>
      </sheetData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9">
          <cell r="AC9">
            <v>5736.48</v>
          </cell>
        </row>
        <row r="10">
          <cell r="AC10">
            <v>6109.44</v>
          </cell>
        </row>
        <row r="13">
          <cell r="AC13">
            <v>7521.36</v>
          </cell>
        </row>
        <row r="14">
          <cell r="AC14">
            <v>5721.6800000000012</v>
          </cell>
        </row>
        <row r="15">
          <cell r="AC15">
            <v>12608.712</v>
          </cell>
        </row>
        <row r="16">
          <cell r="AC16">
            <v>5322.08</v>
          </cell>
        </row>
        <row r="17">
          <cell r="AC17">
            <v>9939.68</v>
          </cell>
        </row>
        <row r="19">
          <cell r="AC19">
            <v>4733.6319999999996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V19" sqref="V19"/>
    </sheetView>
  </sheetViews>
  <sheetFormatPr defaultRowHeight="15"/>
  <cols>
    <col min="1" max="1" width="4.5703125" customWidth="1"/>
    <col min="2" max="2" width="33.5703125" customWidth="1"/>
    <col min="3" max="3" width="15.7109375" style="63" hidden="1" customWidth="1"/>
    <col min="4" max="4" width="12.7109375" style="63" hidden="1" customWidth="1"/>
    <col min="5" max="5" width="10.5703125" style="63" hidden="1" customWidth="1"/>
    <col min="6" max="6" width="11.42578125" style="63" hidden="1" customWidth="1"/>
    <col min="7" max="9" width="13.7109375" style="64" customWidth="1"/>
    <col min="10" max="10" width="13.140625" style="64" customWidth="1"/>
    <col min="11" max="12" width="14.42578125" style="64" customWidth="1"/>
    <col min="13" max="13" width="15.7109375" style="64" customWidth="1"/>
    <col min="14" max="14" width="12.140625" style="126" customWidth="1"/>
    <col min="15" max="17" width="12.28515625" style="65" customWidth="1"/>
    <col min="18" max="18" width="11.85546875" style="65" customWidth="1"/>
    <col min="19" max="19" width="11" style="65" hidden="1" customWidth="1"/>
    <col min="20" max="21" width="10.7109375" style="65" hidden="1" customWidth="1"/>
    <col min="22" max="22" width="17.85546875" style="4" customWidth="1"/>
    <col min="23" max="23" width="0.140625" customWidth="1"/>
    <col min="24" max="24" width="11.42578125" hidden="1" customWidth="1"/>
    <col min="25" max="25" width="12.140625" hidden="1" customWidth="1"/>
  </cols>
  <sheetData>
    <row r="1" spans="1:25" ht="20.25">
      <c r="A1" s="1"/>
      <c r="B1" s="147" t="s">
        <v>38</v>
      </c>
      <c r="C1" s="147"/>
      <c r="D1" s="147"/>
      <c r="E1" s="147"/>
      <c r="F1" s="147"/>
      <c r="G1" s="147"/>
      <c r="H1" s="147"/>
      <c r="I1" s="147"/>
      <c r="J1" s="147"/>
      <c r="K1" s="147"/>
      <c r="L1" s="2"/>
      <c r="M1" s="3"/>
      <c r="N1" s="115"/>
      <c r="O1" s="2"/>
      <c r="P1" s="2"/>
      <c r="Q1" s="2"/>
      <c r="R1" s="2"/>
      <c r="S1" s="2"/>
      <c r="T1" s="2"/>
      <c r="U1" s="2"/>
    </row>
    <row r="2" spans="1:25" ht="15.75">
      <c r="B2" s="148">
        <v>45581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5"/>
      <c r="R2" s="6"/>
      <c r="S2" s="7"/>
      <c r="T2" s="7"/>
      <c r="U2" s="7"/>
      <c r="V2" s="108" t="s">
        <v>34</v>
      </c>
    </row>
    <row r="3" spans="1:25" ht="15.75">
      <c r="A3" s="8" t="s">
        <v>0</v>
      </c>
      <c r="B3" s="9" t="s">
        <v>1</v>
      </c>
      <c r="C3" s="10"/>
      <c r="D3" s="10"/>
      <c r="E3" s="10"/>
      <c r="F3" s="10"/>
      <c r="G3" s="11" t="s">
        <v>2</v>
      </c>
      <c r="H3" s="11"/>
      <c r="I3" s="150" t="s">
        <v>3</v>
      </c>
      <c r="J3" s="151"/>
      <c r="K3" s="152"/>
      <c r="L3" s="151" t="s">
        <v>4</v>
      </c>
      <c r="M3" s="133" t="s">
        <v>5</v>
      </c>
      <c r="N3" s="134"/>
      <c r="O3" s="134"/>
      <c r="P3" s="134"/>
      <c r="Q3" s="134"/>
      <c r="R3" s="135"/>
      <c r="S3" s="144"/>
      <c r="T3" s="138"/>
      <c r="U3" s="138"/>
      <c r="V3" s="141" t="s">
        <v>6</v>
      </c>
    </row>
    <row r="4" spans="1:25" ht="2.25" customHeight="1">
      <c r="A4" s="12"/>
      <c r="B4" s="130"/>
      <c r="C4" s="130"/>
      <c r="D4" s="130"/>
      <c r="E4" s="130"/>
      <c r="F4" s="130"/>
      <c r="G4" s="130"/>
      <c r="H4" s="130"/>
      <c r="I4" s="130"/>
      <c r="J4" s="130"/>
      <c r="K4" s="13"/>
      <c r="L4" s="153"/>
      <c r="M4" s="14"/>
      <c r="N4" s="116"/>
      <c r="O4" s="14"/>
      <c r="P4" s="14"/>
      <c r="Q4" s="14"/>
      <c r="R4" s="14"/>
      <c r="S4" s="145"/>
      <c r="T4" s="139"/>
      <c r="U4" s="139"/>
      <c r="V4" s="142"/>
    </row>
    <row r="5" spans="1:25" ht="15" customHeight="1">
      <c r="A5" s="12"/>
      <c r="B5" s="15"/>
      <c r="C5" s="16"/>
      <c r="D5" s="16"/>
      <c r="E5" s="16"/>
      <c r="F5" s="16"/>
      <c r="G5" s="13"/>
      <c r="H5" s="13"/>
      <c r="I5" s="13"/>
      <c r="J5" s="13"/>
      <c r="K5" s="13"/>
      <c r="L5" s="153"/>
      <c r="M5" s="14"/>
      <c r="N5" s="116"/>
      <c r="O5" s="14"/>
      <c r="P5" s="14"/>
      <c r="Q5" s="14"/>
      <c r="R5" s="14"/>
      <c r="S5" s="145"/>
      <c r="T5" s="139"/>
      <c r="U5" s="139"/>
      <c r="V5" s="142"/>
    </row>
    <row r="6" spans="1:25" ht="30" customHeight="1">
      <c r="A6" s="17"/>
      <c r="B6" s="18"/>
      <c r="C6" s="19"/>
      <c r="D6" s="131" t="s">
        <v>11</v>
      </c>
      <c r="E6" s="131"/>
      <c r="F6" s="131"/>
      <c r="G6" s="20" t="s">
        <v>12</v>
      </c>
      <c r="H6" s="20"/>
      <c r="I6" s="132" t="s">
        <v>13</v>
      </c>
      <c r="J6" s="132"/>
      <c r="K6" s="132"/>
      <c r="L6" s="153"/>
      <c r="M6" s="133" t="s">
        <v>14</v>
      </c>
      <c r="N6" s="134"/>
      <c r="O6" s="134"/>
      <c r="P6" s="134"/>
      <c r="Q6" s="135"/>
      <c r="R6" s="136" t="s">
        <v>39</v>
      </c>
      <c r="S6" s="145"/>
      <c r="T6" s="139"/>
      <c r="U6" s="139"/>
      <c r="V6" s="142"/>
    </row>
    <row r="7" spans="1:25" ht="53.25" customHeight="1">
      <c r="A7" s="17"/>
      <c r="B7" s="18"/>
      <c r="C7" s="19">
        <v>111</v>
      </c>
      <c r="D7" s="19">
        <v>121</v>
      </c>
      <c r="E7" s="19">
        <v>122</v>
      </c>
      <c r="F7" s="19">
        <v>124</v>
      </c>
      <c r="G7" s="20" t="s">
        <v>16</v>
      </c>
      <c r="H7" s="20">
        <v>113</v>
      </c>
      <c r="I7" s="20">
        <v>121</v>
      </c>
      <c r="J7" s="20">
        <v>122</v>
      </c>
      <c r="K7" s="20">
        <v>124</v>
      </c>
      <c r="L7" s="154"/>
      <c r="M7" s="20" t="s">
        <v>17</v>
      </c>
      <c r="N7" s="117" t="s">
        <v>18</v>
      </c>
      <c r="O7" s="21" t="s">
        <v>19</v>
      </c>
      <c r="P7" s="21" t="s">
        <v>20</v>
      </c>
      <c r="Q7" s="21" t="s">
        <v>21</v>
      </c>
      <c r="R7" s="137"/>
      <c r="S7" s="146"/>
      <c r="T7" s="140"/>
      <c r="U7" s="140"/>
      <c r="V7" s="143"/>
    </row>
    <row r="8" spans="1:25" s="33" customFormat="1" ht="16.5" customHeight="1">
      <c r="A8" s="22">
        <v>1</v>
      </c>
      <c r="B8" s="23" t="s">
        <v>22</v>
      </c>
      <c r="C8" s="24">
        <f>'[1]Свод '!$J$6/1000</f>
        <v>12873.16800737935</v>
      </c>
      <c r="D8" s="25">
        <f>(C8-C8*10%)*6%</f>
        <v>695.15107239848487</v>
      </c>
      <c r="E8" s="25">
        <f>(C8-C8*10%)*3.5%</f>
        <v>405.50479223244957</v>
      </c>
      <c r="F8" s="25">
        <f>C8*2%</f>
        <v>257.46336014758703</v>
      </c>
      <c r="G8" s="26">
        <f>'[2]Свод '!$L$7</f>
        <v>220041.39511274965</v>
      </c>
      <c r="H8" s="26">
        <f>G8/12</f>
        <v>18336.782926062471</v>
      </c>
      <c r="I8" s="26">
        <f>(G8-G8*10%)*6%</f>
        <v>11882.235336088481</v>
      </c>
      <c r="J8" s="26">
        <f>(G8-G8*10%)*3.5%</f>
        <v>6931.3039460516147</v>
      </c>
      <c r="K8" s="26">
        <f>G8*3%</f>
        <v>6601.2418533824894</v>
      </c>
      <c r="L8" s="26">
        <f>G8+I8+J8+K8+H8</f>
        <v>263792.95917433471</v>
      </c>
      <c r="M8" s="26">
        <f>[3]Лист2!$AC$9</f>
        <v>5736.48</v>
      </c>
      <c r="N8" s="118">
        <v>1013.9</v>
      </c>
      <c r="O8" s="27">
        <f>1120+368</f>
        <v>1488</v>
      </c>
      <c r="P8" s="27">
        <v>62.5</v>
      </c>
      <c r="Q8" s="27"/>
      <c r="R8" s="28"/>
      <c r="S8" s="29"/>
      <c r="T8" s="30"/>
      <c r="U8" s="30"/>
      <c r="V8" s="31">
        <f>L8+M8+N8+O8+P8+S8+R8+T8+U8+Q8</f>
        <v>272093.83917433472</v>
      </c>
      <c r="W8" s="33">
        <f t="shared" ref="W8:W17" si="0">M8/7</f>
        <v>819.49714285714276</v>
      </c>
      <c r="X8" s="34" t="e">
        <f>#REF!+#REF!+#REF!+#REF!</f>
        <v>#REF!</v>
      </c>
      <c r="Y8" s="32" t="e">
        <f t="shared" ref="Y8:Y17" si="1">V8-X8</f>
        <v>#REF!</v>
      </c>
    </row>
    <row r="9" spans="1:25" s="33" customFormat="1" ht="15.75" customHeight="1">
      <c r="A9" s="35">
        <v>2</v>
      </c>
      <c r="B9" s="23" t="s">
        <v>23</v>
      </c>
      <c r="C9" s="25">
        <f>'[1]Свод '!$J$7/1000</f>
        <v>12013.720855255393</v>
      </c>
      <c r="D9" s="25">
        <f t="shared" ref="D9:D17" si="2">(C9-C9*10%)*6%</f>
        <v>648.7409261837912</v>
      </c>
      <c r="E9" s="25">
        <f t="shared" ref="E9:E17" si="3">(C9-C9*10%)*3.5%</f>
        <v>378.43220694054492</v>
      </c>
      <c r="F9" s="25">
        <f t="shared" ref="F9:F17" si="4">C9*2%</f>
        <v>240.27441710510786</v>
      </c>
      <c r="G9" s="26">
        <f>'[2]Свод '!$L$8</f>
        <v>194203.78294095004</v>
      </c>
      <c r="H9" s="26">
        <f t="shared" ref="H9:H17" si="5">G9/12</f>
        <v>16183.648578412503</v>
      </c>
      <c r="I9" s="26">
        <f t="shared" ref="I9:I17" si="6">(G9-G9*10%)*6%</f>
        <v>10487.004278811301</v>
      </c>
      <c r="J9" s="26">
        <f t="shared" ref="J9:J17" si="7">(G9-G9*10%)*3.5%</f>
        <v>6117.4191626399261</v>
      </c>
      <c r="K9" s="26">
        <f t="shared" ref="K9:K17" si="8">G9*3%</f>
        <v>5826.1134882285014</v>
      </c>
      <c r="L9" s="26">
        <f t="shared" ref="L9:L17" si="9">G9+I9+J9+K9+H9</f>
        <v>232817.9684490423</v>
      </c>
      <c r="M9" s="36"/>
      <c r="N9" s="114">
        <v>1315</v>
      </c>
      <c r="O9" s="37">
        <f>848.5+128+276+92</f>
        <v>1344.5</v>
      </c>
      <c r="P9" s="27">
        <v>187.5</v>
      </c>
      <c r="Q9" s="27"/>
      <c r="R9" s="28">
        <f>5924*205/1000</f>
        <v>1214.42</v>
      </c>
      <c r="S9" s="29"/>
      <c r="T9" s="30"/>
      <c r="U9" s="30"/>
      <c r="V9" s="31">
        <f t="shared" ref="V9:V17" si="10">L9+M9+N9+O9+P9+S9+R9+T9+U9+Q9</f>
        <v>236879.38844904231</v>
      </c>
      <c r="W9" s="33">
        <f t="shared" si="0"/>
        <v>0</v>
      </c>
      <c r="X9" s="34" t="e">
        <f>#REF!+#REF!+#REF!+#REF!</f>
        <v>#REF!</v>
      </c>
      <c r="Y9" s="32" t="e">
        <f t="shared" si="1"/>
        <v>#REF!</v>
      </c>
    </row>
    <row r="10" spans="1:25" s="33" customFormat="1" ht="15.75" customHeight="1">
      <c r="A10" s="38">
        <v>3</v>
      </c>
      <c r="B10" s="23" t="s">
        <v>24</v>
      </c>
      <c r="C10" s="25">
        <v>14856.9</v>
      </c>
      <c r="D10" s="25">
        <f t="shared" si="2"/>
        <v>802.2725999999999</v>
      </c>
      <c r="E10" s="25">
        <f t="shared" si="3"/>
        <v>467.99234999999999</v>
      </c>
      <c r="F10" s="25">
        <f t="shared" si="4"/>
        <v>297.13799999999998</v>
      </c>
      <c r="G10" s="26">
        <f>'[2]Свод '!$L$11</f>
        <v>267567.84834578534</v>
      </c>
      <c r="H10" s="26">
        <f t="shared" si="5"/>
        <v>22297.320695482111</v>
      </c>
      <c r="I10" s="26">
        <f t="shared" si="6"/>
        <v>14448.663810672408</v>
      </c>
      <c r="J10" s="26">
        <f t="shared" si="7"/>
        <v>8428.3872228922392</v>
      </c>
      <c r="K10" s="26">
        <f t="shared" si="8"/>
        <v>8027.0354503735598</v>
      </c>
      <c r="L10" s="26">
        <f t="shared" si="9"/>
        <v>320769.25552520569</v>
      </c>
      <c r="M10" s="36">
        <v>8542</v>
      </c>
      <c r="N10" s="119">
        <v>3050</v>
      </c>
      <c r="O10" s="37">
        <f>403+284+184+92</f>
        <v>963</v>
      </c>
      <c r="P10" s="27">
        <v>180</v>
      </c>
      <c r="Q10" s="27">
        <v>195</v>
      </c>
      <c r="R10" s="44">
        <v>1400</v>
      </c>
      <c r="S10" s="29"/>
      <c r="T10" s="30"/>
      <c r="U10" s="30"/>
      <c r="V10" s="31">
        <f t="shared" si="10"/>
        <v>335099.25552520569</v>
      </c>
      <c r="W10" s="33">
        <f t="shared" si="0"/>
        <v>1220.2857142857142</v>
      </c>
      <c r="X10" s="34" t="e">
        <f>#REF!+#REF!+#REF!+#REF!</f>
        <v>#REF!</v>
      </c>
      <c r="Y10" s="32" t="e">
        <f t="shared" si="1"/>
        <v>#REF!</v>
      </c>
    </row>
    <row r="11" spans="1:25" s="33" customFormat="1" ht="15.75" customHeight="1">
      <c r="A11" s="38">
        <v>4</v>
      </c>
      <c r="B11" s="113" t="s">
        <v>25</v>
      </c>
      <c r="C11" s="25">
        <f>'[1]Свод '!$J$8/1000</f>
        <v>8629.2712720314339</v>
      </c>
      <c r="D11" s="25">
        <f t="shared" si="2"/>
        <v>465.98064868969738</v>
      </c>
      <c r="E11" s="25">
        <f t="shared" si="3"/>
        <v>271.82204506899018</v>
      </c>
      <c r="F11" s="25">
        <f t="shared" si="4"/>
        <v>172.58542544062868</v>
      </c>
      <c r="G11" s="26">
        <f>'[2]Свод '!$L$9</f>
        <v>136985.4294746792</v>
      </c>
      <c r="H11" s="26">
        <f t="shared" si="5"/>
        <v>11415.452456223267</v>
      </c>
      <c r="I11" s="26">
        <f t="shared" si="6"/>
        <v>7397.2131916326762</v>
      </c>
      <c r="J11" s="26">
        <f t="shared" si="7"/>
        <v>4315.041028452395</v>
      </c>
      <c r="K11" s="26">
        <f t="shared" si="8"/>
        <v>4109.5628842403758</v>
      </c>
      <c r="L11" s="26">
        <f t="shared" si="9"/>
        <v>164222.69903522791</v>
      </c>
      <c r="M11" s="36">
        <f>[3]Лист2!$AC$10</f>
        <v>6109.44</v>
      </c>
      <c r="N11" s="114">
        <v>1388</v>
      </c>
      <c r="O11" s="37">
        <v>184</v>
      </c>
      <c r="P11" s="27">
        <v>62.5</v>
      </c>
      <c r="Q11" s="27"/>
      <c r="R11" s="28">
        <f>3168*205/1000</f>
        <v>649.44000000000005</v>
      </c>
      <c r="S11" s="29"/>
      <c r="T11" s="30"/>
      <c r="U11" s="30"/>
      <c r="V11" s="31">
        <f t="shared" si="10"/>
        <v>172616.07903522791</v>
      </c>
      <c r="W11" s="33">
        <f t="shared" si="0"/>
        <v>872.77714285714285</v>
      </c>
      <c r="X11" s="34" t="e">
        <f>#REF!+#REF!+#REF!+#REF!</f>
        <v>#REF!</v>
      </c>
      <c r="Y11" s="32" t="e">
        <f t="shared" si="1"/>
        <v>#REF!</v>
      </c>
    </row>
    <row r="12" spans="1:25" s="33" customFormat="1" ht="15.75" customHeight="1">
      <c r="A12" s="38">
        <v>5</v>
      </c>
      <c r="B12" s="23" t="s">
        <v>26</v>
      </c>
      <c r="C12" s="25">
        <f>'[1]Свод '!$J$9/1000</f>
        <v>7625.1002980835156</v>
      </c>
      <c r="D12" s="25">
        <f t="shared" si="2"/>
        <v>411.7554160965098</v>
      </c>
      <c r="E12" s="25">
        <f t="shared" si="3"/>
        <v>240.19065938963075</v>
      </c>
      <c r="F12" s="25">
        <f t="shared" si="4"/>
        <v>152.50200596167031</v>
      </c>
      <c r="G12" s="26">
        <f>'[2]Свод '!$L$10</f>
        <v>155556.0151411012</v>
      </c>
      <c r="H12" s="26">
        <f t="shared" si="5"/>
        <v>12963.001261758434</v>
      </c>
      <c r="I12" s="26">
        <f t="shared" si="6"/>
        <v>8400.0248176194655</v>
      </c>
      <c r="J12" s="26">
        <f t="shared" si="7"/>
        <v>4900.0144769446888</v>
      </c>
      <c r="K12" s="26">
        <f t="shared" si="8"/>
        <v>4666.6804542330356</v>
      </c>
      <c r="L12" s="26">
        <f t="shared" si="9"/>
        <v>186485.73615165683</v>
      </c>
      <c r="M12" s="36">
        <f>[3]Лист2!$AC$13</f>
        <v>7521.36</v>
      </c>
      <c r="N12" s="114">
        <v>1783.2</v>
      </c>
      <c r="O12" s="37">
        <f>1120.2+276+92</f>
        <v>1488.2</v>
      </c>
      <c r="P12" s="27">
        <v>88</v>
      </c>
      <c r="Q12" s="27">
        <v>145</v>
      </c>
      <c r="R12" s="28"/>
      <c r="S12" s="29"/>
      <c r="T12" s="30"/>
      <c r="U12" s="30"/>
      <c r="V12" s="31">
        <f t="shared" si="10"/>
        <v>197511.49615165684</v>
      </c>
      <c r="W12" s="33">
        <f t="shared" si="0"/>
        <v>1074.48</v>
      </c>
      <c r="X12" s="34" t="e">
        <f>#REF!+#REF!+#REF!+#REF!</f>
        <v>#REF!</v>
      </c>
      <c r="Y12" s="32" t="e">
        <f t="shared" si="1"/>
        <v>#REF!</v>
      </c>
    </row>
    <row r="13" spans="1:25" s="33" customFormat="1" ht="15.75" customHeight="1">
      <c r="A13" s="38">
        <v>6</v>
      </c>
      <c r="B13" s="23" t="s">
        <v>27</v>
      </c>
      <c r="C13" s="25">
        <f>'[1]Свод '!$J$11/1000</f>
        <v>9385.1176688126852</v>
      </c>
      <c r="D13" s="25">
        <f>(C13-C13*10%)*6%</f>
        <v>506.79635411588492</v>
      </c>
      <c r="E13" s="25">
        <f t="shared" si="3"/>
        <v>295.63120656759958</v>
      </c>
      <c r="F13" s="25">
        <f t="shared" si="4"/>
        <v>187.70235337625371</v>
      </c>
      <c r="G13" s="26">
        <f>'[2]Свод '!$L$12</f>
        <v>180221.56577603417</v>
      </c>
      <c r="H13" s="26">
        <f t="shared" si="5"/>
        <v>15018.463814669514</v>
      </c>
      <c r="I13" s="26">
        <f t="shared" si="6"/>
        <v>9731.9645519058449</v>
      </c>
      <c r="J13" s="26">
        <f t="shared" si="7"/>
        <v>5676.9793219450767</v>
      </c>
      <c r="K13" s="26">
        <f t="shared" si="8"/>
        <v>5406.6469732810247</v>
      </c>
      <c r="L13" s="26">
        <f t="shared" si="9"/>
        <v>216055.62043783563</v>
      </c>
      <c r="M13" s="36">
        <f>[3]Лист2!$AC$14</f>
        <v>5721.6800000000012</v>
      </c>
      <c r="N13" s="114">
        <v>1214.9000000000001</v>
      </c>
      <c r="O13" s="37">
        <f>360+184</f>
        <v>544</v>
      </c>
      <c r="P13" s="27">
        <v>75</v>
      </c>
      <c r="Q13" s="27"/>
      <c r="R13" s="28"/>
      <c r="S13" s="29"/>
      <c r="T13" s="30"/>
      <c r="U13" s="30"/>
      <c r="V13" s="31">
        <f t="shared" si="10"/>
        <v>223611.20043783562</v>
      </c>
      <c r="W13" s="33">
        <f t="shared" si="0"/>
        <v>817.38285714285735</v>
      </c>
      <c r="X13" s="34" t="e">
        <f>#REF!+#REF!+#REF!+#REF!</f>
        <v>#REF!</v>
      </c>
      <c r="Y13" s="32" t="e">
        <f t="shared" si="1"/>
        <v>#REF!</v>
      </c>
    </row>
    <row r="14" spans="1:25" s="33" customFormat="1" ht="15.75" customHeight="1">
      <c r="A14" s="38">
        <v>7</v>
      </c>
      <c r="B14" s="113" t="s">
        <v>28</v>
      </c>
      <c r="C14" s="25">
        <f>'[1]Свод '!$J$12/1000</f>
        <v>7425.1813609999999</v>
      </c>
      <c r="D14" s="25">
        <f t="shared" si="2"/>
        <v>400.95979349399994</v>
      </c>
      <c r="E14" s="25">
        <f t="shared" si="3"/>
        <v>233.8932128715</v>
      </c>
      <c r="F14" s="25">
        <f t="shared" si="4"/>
        <v>148.50362722</v>
      </c>
      <c r="G14" s="26">
        <f>'[2]Свод '!$L$13</f>
        <v>131013.04348395864</v>
      </c>
      <c r="H14" s="26">
        <f t="shared" si="5"/>
        <v>10917.75362366322</v>
      </c>
      <c r="I14" s="26">
        <f t="shared" si="6"/>
        <v>7074.704348133766</v>
      </c>
      <c r="J14" s="26">
        <f t="shared" si="7"/>
        <v>4126.9108697446973</v>
      </c>
      <c r="K14" s="26">
        <f t="shared" si="8"/>
        <v>3930.3913045187592</v>
      </c>
      <c r="L14" s="26">
        <f t="shared" si="9"/>
        <v>157062.80363001907</v>
      </c>
      <c r="M14" s="36">
        <f>[3]Лист2!$AC$16</f>
        <v>5322.08</v>
      </c>
      <c r="N14" s="114">
        <v>965.2</v>
      </c>
      <c r="O14" s="37">
        <v>184</v>
      </c>
      <c r="P14" s="27">
        <v>100</v>
      </c>
      <c r="Q14" s="27"/>
      <c r="R14" s="28"/>
      <c r="S14" s="29"/>
      <c r="T14" s="30"/>
      <c r="U14" s="30"/>
      <c r="V14" s="31">
        <f t="shared" si="10"/>
        <v>163634.08363001907</v>
      </c>
      <c r="W14" s="33">
        <f t="shared" si="0"/>
        <v>760.29714285714283</v>
      </c>
      <c r="X14" s="34" t="e">
        <f>#REF!+#REF!+#REF!+#REF!</f>
        <v>#REF!</v>
      </c>
      <c r="Y14" s="32" t="e">
        <f t="shared" si="1"/>
        <v>#REF!</v>
      </c>
    </row>
    <row r="15" spans="1:25" s="33" customFormat="1" ht="15.75" customHeight="1">
      <c r="A15" s="22">
        <v>8</v>
      </c>
      <c r="B15" s="23" t="s">
        <v>29</v>
      </c>
      <c r="C15" s="25">
        <f>'[1]Свод '!$J$13/1000</f>
        <v>13746.1794028856</v>
      </c>
      <c r="D15" s="25">
        <f t="shared" si="2"/>
        <v>742.29368775582248</v>
      </c>
      <c r="E15" s="25">
        <f t="shared" si="3"/>
        <v>433.00465119089648</v>
      </c>
      <c r="F15" s="25">
        <f t="shared" si="4"/>
        <v>274.92358805771204</v>
      </c>
      <c r="G15" s="26">
        <f>'[2]Свод '!$L$15</f>
        <v>235345.19637271608</v>
      </c>
      <c r="H15" s="26">
        <f t="shared" si="5"/>
        <v>19612.099697726338</v>
      </c>
      <c r="I15" s="26">
        <f t="shared" si="6"/>
        <v>12708.640604126667</v>
      </c>
      <c r="J15" s="26">
        <f t="shared" si="7"/>
        <v>7413.3736857405565</v>
      </c>
      <c r="K15" s="26">
        <f t="shared" si="8"/>
        <v>7060.3558911814816</v>
      </c>
      <c r="L15" s="26">
        <f t="shared" si="9"/>
        <v>282139.66625149111</v>
      </c>
      <c r="M15" s="36">
        <f>[3]Лист2!$AC$15</f>
        <v>12608.712</v>
      </c>
      <c r="N15" s="119">
        <v>3386.2</v>
      </c>
      <c r="O15" s="37">
        <f>284+276</f>
        <v>560</v>
      </c>
      <c r="P15" s="27"/>
      <c r="Q15" s="27"/>
      <c r="R15" s="39">
        <v>1573</v>
      </c>
      <c r="S15" s="29"/>
      <c r="T15" s="30"/>
      <c r="U15" s="30"/>
      <c r="V15" s="31">
        <f t="shared" si="10"/>
        <v>300267.57825149113</v>
      </c>
      <c r="W15" s="33">
        <f t="shared" si="0"/>
        <v>1801.2445714285714</v>
      </c>
      <c r="X15" s="34" t="e">
        <f>#REF!+#REF!+#REF!+#REF!</f>
        <v>#REF!</v>
      </c>
      <c r="Y15" s="32" t="e">
        <f t="shared" si="1"/>
        <v>#REF!</v>
      </c>
    </row>
    <row r="16" spans="1:25" s="33" customFormat="1" ht="15.75" customHeight="1">
      <c r="A16" s="35">
        <v>9</v>
      </c>
      <c r="B16" s="23" t="s">
        <v>30</v>
      </c>
      <c r="C16" s="25">
        <f>'[1]Свод '!$J$15/1000</f>
        <v>7837.6380911145825</v>
      </c>
      <c r="D16" s="25">
        <f t="shared" si="2"/>
        <v>423.23245692018742</v>
      </c>
      <c r="E16" s="25">
        <f t="shared" si="3"/>
        <v>246.88559987010936</v>
      </c>
      <c r="F16" s="25">
        <f t="shared" si="4"/>
        <v>156.75276182229166</v>
      </c>
      <c r="G16" s="26">
        <f>'[2]Свод '!$L$17</f>
        <v>138942.13293177038</v>
      </c>
      <c r="H16" s="26">
        <f t="shared" si="5"/>
        <v>11578.511077647532</v>
      </c>
      <c r="I16" s="26">
        <f t="shared" si="6"/>
        <v>7502.8751783155994</v>
      </c>
      <c r="J16" s="26">
        <f t="shared" si="7"/>
        <v>4376.6771873507669</v>
      </c>
      <c r="K16" s="26">
        <f t="shared" si="8"/>
        <v>4168.2639879531116</v>
      </c>
      <c r="L16" s="26">
        <f t="shared" si="9"/>
        <v>166568.46036303736</v>
      </c>
      <c r="M16" s="36">
        <f>[3]Лист2!$AC$17</f>
        <v>9939.68</v>
      </c>
      <c r="N16" s="114">
        <v>1447.8</v>
      </c>
      <c r="O16" s="37">
        <f>432+276</f>
        <v>708</v>
      </c>
      <c r="P16" s="27">
        <v>88</v>
      </c>
      <c r="Q16" s="27"/>
      <c r="R16" s="28">
        <f>12020*205/1000</f>
        <v>2464.1</v>
      </c>
      <c r="S16" s="29"/>
      <c r="T16" s="30"/>
      <c r="U16" s="30"/>
      <c r="V16" s="31">
        <f t="shared" si="10"/>
        <v>181216.04036303735</v>
      </c>
      <c r="W16" s="33">
        <f t="shared" si="0"/>
        <v>1419.9542857142858</v>
      </c>
      <c r="X16" s="34" t="e">
        <f>#REF!+#REF!+#REF!+#REF!</f>
        <v>#REF!</v>
      </c>
      <c r="Y16" s="32" t="e">
        <f t="shared" si="1"/>
        <v>#REF!</v>
      </c>
    </row>
    <row r="17" spans="1:25" s="33" customFormat="1" ht="15.75">
      <c r="A17" s="38">
        <v>14</v>
      </c>
      <c r="B17" s="113" t="s">
        <v>31</v>
      </c>
      <c r="C17" s="41">
        <f>'[1]Свод '!$J$20/1000</f>
        <v>5306.275801244974</v>
      </c>
      <c r="D17" s="41">
        <f t="shared" si="2"/>
        <v>286.53889326722856</v>
      </c>
      <c r="E17" s="41">
        <f t="shared" si="3"/>
        <v>167.14768773921671</v>
      </c>
      <c r="F17" s="41">
        <f t="shared" si="4"/>
        <v>106.12551602489948</v>
      </c>
      <c r="G17" s="26">
        <f>'[2]Свод '!$L$22</f>
        <v>253978</v>
      </c>
      <c r="H17" s="26">
        <f t="shared" si="5"/>
        <v>21164.833333333332</v>
      </c>
      <c r="I17" s="26">
        <f t="shared" si="6"/>
        <v>13714.812</v>
      </c>
      <c r="J17" s="40">
        <f t="shared" si="7"/>
        <v>8000.3070000000016</v>
      </c>
      <c r="K17" s="26">
        <f t="shared" si="8"/>
        <v>7619.34</v>
      </c>
      <c r="L17" s="26">
        <f t="shared" si="9"/>
        <v>304477.29233333335</v>
      </c>
      <c r="M17" s="31">
        <f>[3]Лист2!$AC$19</f>
        <v>4733.6319999999996</v>
      </c>
      <c r="N17" s="120">
        <v>1279</v>
      </c>
      <c r="O17" s="42">
        <v>184</v>
      </c>
      <c r="P17" s="43">
        <v>150</v>
      </c>
      <c r="Q17" s="43"/>
      <c r="R17" s="28"/>
      <c r="S17" s="29"/>
      <c r="T17" s="30"/>
      <c r="U17" s="30"/>
      <c r="V17" s="31">
        <f t="shared" si="10"/>
        <v>310823.92433333333</v>
      </c>
      <c r="W17" s="33">
        <f t="shared" si="0"/>
        <v>676.23314285714275</v>
      </c>
      <c r="X17" s="34" t="e">
        <f>#REF!+#REF!+#REF!+#REF!</f>
        <v>#REF!</v>
      </c>
      <c r="Y17" s="32" t="e">
        <f t="shared" si="1"/>
        <v>#REF!</v>
      </c>
    </row>
    <row r="18" spans="1:25" s="47" customFormat="1" ht="27" customHeight="1">
      <c r="A18" s="127"/>
      <c r="B18" s="128"/>
      <c r="C18" s="46"/>
      <c r="D18" s="25"/>
      <c r="E18" s="25"/>
      <c r="F18" s="25"/>
      <c r="G18" s="99"/>
      <c r="H18" s="85"/>
      <c r="I18" s="99"/>
      <c r="J18" s="99"/>
      <c r="K18" s="99"/>
      <c r="L18" s="85"/>
      <c r="M18" s="99"/>
      <c r="N18" s="121"/>
      <c r="O18" s="99"/>
      <c r="P18" s="99"/>
      <c r="Q18" s="99"/>
      <c r="R18" s="99"/>
      <c r="S18" s="99"/>
      <c r="T18" s="99"/>
      <c r="U18" s="99"/>
      <c r="V18" s="79"/>
      <c r="X18" s="34" t="e">
        <f>#REF!+#REF!+#REF!+#REF!</f>
        <v>#REF!</v>
      </c>
      <c r="Y18" s="48"/>
    </row>
    <row r="19" spans="1:25" s="33" customFormat="1" ht="19.5" customHeight="1">
      <c r="A19" s="102"/>
      <c r="B19" s="102"/>
      <c r="C19" s="103"/>
      <c r="D19" s="103"/>
      <c r="E19" s="103"/>
      <c r="F19" s="103"/>
      <c r="G19" s="104"/>
      <c r="H19" s="104"/>
      <c r="I19" s="104"/>
      <c r="J19" s="104"/>
      <c r="K19" s="104"/>
      <c r="L19" s="104"/>
      <c r="M19" s="105"/>
      <c r="N19" s="122"/>
      <c r="O19" s="106"/>
      <c r="P19" s="107"/>
      <c r="Q19" s="107"/>
      <c r="R19" s="106"/>
      <c r="S19" s="106"/>
      <c r="T19" s="106"/>
      <c r="U19" s="106"/>
      <c r="V19" s="108"/>
    </row>
    <row r="20" spans="1:25" ht="18.75">
      <c r="A20" s="52"/>
      <c r="B20" s="53"/>
      <c r="C20" s="54"/>
      <c r="D20" s="54"/>
      <c r="E20" s="54"/>
      <c r="F20" s="54"/>
      <c r="G20" s="129"/>
      <c r="H20" s="129"/>
      <c r="I20" s="55"/>
      <c r="J20" s="55"/>
      <c r="K20" s="55"/>
      <c r="L20" s="49"/>
      <c r="M20" s="49"/>
      <c r="N20" s="123"/>
      <c r="O20" s="50"/>
      <c r="P20" s="50"/>
      <c r="Q20" s="50"/>
      <c r="R20" s="50"/>
      <c r="S20" s="50"/>
      <c r="T20" s="50"/>
      <c r="U20" s="50"/>
      <c r="V20" s="51"/>
    </row>
    <row r="21" spans="1:25" ht="18.75">
      <c r="A21" s="52"/>
      <c r="B21" s="52"/>
      <c r="C21" s="56"/>
      <c r="D21" s="56"/>
      <c r="E21" s="56"/>
      <c r="F21" s="56"/>
      <c r="G21" s="57"/>
      <c r="H21" s="57"/>
      <c r="I21" s="57"/>
      <c r="J21" s="57"/>
      <c r="K21" s="57"/>
      <c r="L21" s="49"/>
      <c r="M21" s="49"/>
      <c r="N21" s="124"/>
      <c r="O21" s="49"/>
      <c r="P21" s="50"/>
      <c r="Q21" s="50"/>
      <c r="R21" s="50"/>
      <c r="S21" s="50"/>
      <c r="T21" s="50"/>
      <c r="U21" s="50"/>
      <c r="V21" s="51"/>
    </row>
    <row r="22" spans="1:25" ht="15.75">
      <c r="A22" s="58"/>
      <c r="B22" s="59"/>
      <c r="C22" s="60"/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123"/>
      <c r="O22" s="50"/>
      <c r="P22" s="50"/>
      <c r="Q22" s="50"/>
      <c r="R22" s="50"/>
      <c r="S22" s="50"/>
      <c r="T22" s="50"/>
      <c r="U22" s="50"/>
      <c r="V22" s="51"/>
    </row>
    <row r="23" spans="1:25" ht="15.75">
      <c r="A23" s="58"/>
      <c r="B23" s="59"/>
      <c r="C23" s="60"/>
      <c r="D23" s="60"/>
      <c r="E23" s="60"/>
      <c r="F23" s="60"/>
      <c r="G23" s="61"/>
      <c r="H23" s="61"/>
      <c r="I23" s="61"/>
      <c r="J23" s="61"/>
      <c r="K23" s="61"/>
      <c r="L23" s="61"/>
      <c r="M23" s="61"/>
      <c r="N23" s="124"/>
      <c r="O23" s="50"/>
      <c r="P23" s="50"/>
      <c r="Q23" s="50"/>
      <c r="R23" s="50"/>
      <c r="S23" s="50"/>
      <c r="T23" s="50"/>
      <c r="U23" s="50"/>
      <c r="V23" s="51"/>
    </row>
    <row r="24" spans="1:25" ht="15.75">
      <c r="A24" s="58"/>
      <c r="B24" s="58"/>
      <c r="C24" s="62"/>
      <c r="D24" s="62"/>
      <c r="E24" s="62"/>
      <c r="F24" s="62"/>
      <c r="G24" s="49"/>
      <c r="H24" s="49"/>
      <c r="I24" s="49"/>
      <c r="J24" s="49"/>
      <c r="K24" s="49"/>
      <c r="L24" s="49"/>
      <c r="M24" s="49"/>
      <c r="N24" s="123"/>
      <c r="O24" s="50"/>
      <c r="P24" s="50"/>
      <c r="Q24" s="50"/>
      <c r="R24" s="50"/>
      <c r="S24" s="50"/>
      <c r="T24" s="50"/>
      <c r="U24" s="50"/>
      <c r="V24" s="51"/>
    </row>
    <row r="25" spans="1:25">
      <c r="N25" s="125"/>
    </row>
    <row r="26" spans="1:25">
      <c r="N26" s="125"/>
    </row>
  </sheetData>
  <autoFilter ref="B1:B26"/>
  <mergeCells count="16">
    <mergeCell ref="B1:K1"/>
    <mergeCell ref="B2:P2"/>
    <mergeCell ref="I3:K3"/>
    <mergeCell ref="L3:L7"/>
    <mergeCell ref="M3:R3"/>
    <mergeCell ref="M6:Q6"/>
    <mergeCell ref="R6:R7"/>
    <mergeCell ref="T3:T7"/>
    <mergeCell ref="U3:U7"/>
    <mergeCell ref="V3:V7"/>
    <mergeCell ref="S3:S7"/>
    <mergeCell ref="A18:B18"/>
    <mergeCell ref="G20:H20"/>
    <mergeCell ref="B4:J4"/>
    <mergeCell ref="D6:F6"/>
    <mergeCell ref="I6:K6"/>
  </mergeCells>
  <pageMargins left="0.11811023622047245" right="0" top="0.15748031496062992" bottom="0.35433070866141736" header="0" footer="0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AF19"/>
  <sheetViews>
    <sheetView workbookViewId="0">
      <selection activeCell="O9" sqref="O9:P9"/>
    </sheetView>
  </sheetViews>
  <sheetFormatPr defaultRowHeight="15"/>
  <cols>
    <col min="1" max="1" width="5.140625" customWidth="1"/>
    <col min="2" max="2" width="4.5703125" customWidth="1"/>
    <col min="3" max="3" width="24.140625" customWidth="1"/>
    <col min="4" max="4" width="15.7109375" style="63" hidden="1" customWidth="1"/>
    <col min="5" max="5" width="12.7109375" style="63" hidden="1" customWidth="1"/>
    <col min="6" max="6" width="10.5703125" style="63" hidden="1" customWidth="1"/>
    <col min="7" max="7" width="11.42578125" style="63" hidden="1" customWidth="1"/>
    <col min="8" max="8" width="13.7109375" style="64" customWidth="1"/>
    <col min="9" max="9" width="10.42578125" style="64" customWidth="1"/>
    <col min="10" max="10" width="10.5703125" style="64" customWidth="1"/>
    <col min="11" max="11" width="10.140625" style="64" customWidth="1"/>
    <col min="12" max="12" width="11.28515625" style="64" customWidth="1"/>
    <col min="13" max="13" width="13.140625" style="64" customWidth="1"/>
    <col min="14" max="14" width="15.7109375" style="64" hidden="1" customWidth="1"/>
    <col min="15" max="15" width="12.140625" style="65" customWidth="1"/>
    <col min="16" max="16" width="12.28515625" style="65" customWidth="1"/>
    <col min="17" max="17" width="10.5703125" style="65" hidden="1" customWidth="1"/>
    <col min="18" max="18" width="9.42578125" style="65" customWidth="1"/>
    <col min="19" max="19" width="11.85546875" style="65" customWidth="1"/>
    <col min="20" max="20" width="11" style="65" hidden="1" customWidth="1"/>
    <col min="21" max="22" width="10.7109375" style="65" hidden="1" customWidth="1"/>
    <col min="23" max="23" width="13.28515625" style="4" customWidth="1"/>
    <col min="24" max="24" width="13" customWidth="1"/>
    <col min="25" max="25" width="9.140625" hidden="1" customWidth="1"/>
    <col min="26" max="26" width="11.5703125" customWidth="1"/>
    <col min="27" max="27" width="12" customWidth="1"/>
    <col min="28" max="28" width="13.85546875" customWidth="1"/>
    <col min="29" max="29" width="0.140625" customWidth="1"/>
    <col min="30" max="30" width="11.42578125" hidden="1" customWidth="1"/>
    <col min="31" max="31" width="12.140625" hidden="1" customWidth="1"/>
  </cols>
  <sheetData>
    <row r="3" spans="2:32" ht="20.25">
      <c r="B3" s="1"/>
      <c r="C3" s="68" t="s">
        <v>37</v>
      </c>
      <c r="D3" s="68"/>
      <c r="E3" s="68"/>
      <c r="F3" s="68"/>
      <c r="G3" s="68"/>
      <c r="H3" s="68"/>
      <c r="I3" s="68"/>
      <c r="J3" s="68"/>
      <c r="K3" s="68"/>
      <c r="L3" s="68"/>
      <c r="M3" s="2"/>
      <c r="N3" s="3"/>
      <c r="O3" s="2"/>
      <c r="P3" s="2"/>
      <c r="Q3" s="2"/>
      <c r="R3" s="2"/>
      <c r="S3" s="2"/>
      <c r="T3" s="2"/>
      <c r="U3" s="2"/>
      <c r="V3" s="2"/>
      <c r="W3" s="69"/>
      <c r="X3" s="70"/>
      <c r="Y3" s="70"/>
      <c r="Z3" s="70"/>
      <c r="AA3" s="70"/>
      <c r="AB3" s="70"/>
      <c r="AC3" s="70"/>
      <c r="AD3" s="70"/>
      <c r="AE3" s="70"/>
      <c r="AF3" s="70"/>
    </row>
    <row r="4" spans="2:32" ht="20.25">
      <c r="B4" s="1"/>
      <c r="C4" s="68"/>
      <c r="D4" s="68"/>
      <c r="E4" s="68"/>
      <c r="F4" s="68"/>
      <c r="G4" s="68"/>
      <c r="H4" s="68"/>
      <c r="I4" s="68"/>
      <c r="J4" s="68"/>
      <c r="K4" s="68"/>
      <c r="L4" s="68"/>
      <c r="M4" s="2"/>
      <c r="N4" s="3"/>
      <c r="O4" s="2"/>
      <c r="P4" s="2"/>
      <c r="Q4" s="2"/>
      <c r="R4" s="2"/>
      <c r="S4" s="2"/>
      <c r="T4" s="2"/>
      <c r="U4" s="2"/>
      <c r="V4" s="2"/>
      <c r="W4" s="69"/>
      <c r="X4" s="70"/>
      <c r="Y4" s="70"/>
      <c r="Z4" s="70"/>
      <c r="AA4" s="70"/>
      <c r="AB4" s="70"/>
      <c r="AC4" s="70"/>
      <c r="AD4" s="70"/>
      <c r="AE4" s="70"/>
      <c r="AF4" s="70"/>
    </row>
    <row r="5" spans="2:32" ht="15.75">
      <c r="B5" s="70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71"/>
      <c r="S5" s="72"/>
      <c r="T5" s="73"/>
      <c r="U5" s="73"/>
      <c r="V5" s="73"/>
      <c r="W5" s="74"/>
      <c r="X5" s="70"/>
      <c r="Y5" s="70"/>
      <c r="Z5" s="70"/>
      <c r="AA5" s="70"/>
      <c r="AB5" s="108" t="s">
        <v>34</v>
      </c>
      <c r="AC5" s="70"/>
      <c r="AD5" s="70"/>
      <c r="AE5" s="70"/>
      <c r="AF5" s="70"/>
    </row>
    <row r="6" spans="2:32" ht="17.25" customHeight="1">
      <c r="B6" s="170" t="s">
        <v>0</v>
      </c>
      <c r="C6" s="174" t="s">
        <v>1</v>
      </c>
      <c r="D6" s="75"/>
      <c r="E6" s="75"/>
      <c r="F6" s="75"/>
      <c r="G6" s="75"/>
      <c r="H6" s="176" t="s">
        <v>2</v>
      </c>
      <c r="I6" s="178" t="s">
        <v>3</v>
      </c>
      <c r="J6" s="179"/>
      <c r="K6" s="179"/>
      <c r="L6" s="180"/>
      <c r="M6" s="173" t="s">
        <v>4</v>
      </c>
      <c r="N6" s="157" t="s">
        <v>5</v>
      </c>
      <c r="O6" s="157"/>
      <c r="P6" s="157"/>
      <c r="Q6" s="157"/>
      <c r="R6" s="157"/>
      <c r="S6" s="158"/>
      <c r="T6" s="167"/>
      <c r="U6" s="161"/>
      <c r="V6" s="161"/>
      <c r="W6" s="164" t="s">
        <v>6</v>
      </c>
      <c r="X6" s="155" t="s">
        <v>7</v>
      </c>
      <c r="Y6" s="112"/>
      <c r="Z6" s="155" t="s">
        <v>8</v>
      </c>
      <c r="AA6" s="155" t="s">
        <v>9</v>
      </c>
      <c r="AB6" s="155" t="s">
        <v>10</v>
      </c>
      <c r="AC6" s="70"/>
      <c r="AD6" s="70"/>
      <c r="AE6" s="70"/>
      <c r="AF6" s="70"/>
    </row>
    <row r="7" spans="2:32" ht="30" customHeight="1">
      <c r="B7" s="171"/>
      <c r="C7" s="175"/>
      <c r="D7" s="78"/>
      <c r="E7" s="156" t="s">
        <v>11</v>
      </c>
      <c r="F7" s="156"/>
      <c r="G7" s="156"/>
      <c r="H7" s="177"/>
      <c r="I7" s="181"/>
      <c r="J7" s="182"/>
      <c r="K7" s="182"/>
      <c r="L7" s="183"/>
      <c r="M7" s="173"/>
      <c r="N7" s="157" t="s">
        <v>14</v>
      </c>
      <c r="O7" s="157"/>
      <c r="P7" s="157"/>
      <c r="Q7" s="157"/>
      <c r="R7" s="158"/>
      <c r="S7" s="159" t="s">
        <v>15</v>
      </c>
      <c r="T7" s="168"/>
      <c r="U7" s="162"/>
      <c r="V7" s="162"/>
      <c r="W7" s="165"/>
      <c r="X7" s="155"/>
      <c r="Y7" s="112"/>
      <c r="Z7" s="155"/>
      <c r="AA7" s="155"/>
      <c r="AB7" s="155"/>
      <c r="AC7" s="70"/>
      <c r="AD7" s="70"/>
      <c r="AE7" s="70"/>
      <c r="AF7" s="70"/>
    </row>
    <row r="8" spans="2:32" ht="53.25" customHeight="1">
      <c r="B8" s="76"/>
      <c r="C8" s="77"/>
      <c r="D8" s="78">
        <v>111</v>
      </c>
      <c r="E8" s="78">
        <v>121</v>
      </c>
      <c r="F8" s="78">
        <v>122</v>
      </c>
      <c r="G8" s="78">
        <v>124</v>
      </c>
      <c r="H8" s="79" t="s">
        <v>16</v>
      </c>
      <c r="I8" s="79">
        <v>116</v>
      </c>
      <c r="J8" s="79">
        <v>121</v>
      </c>
      <c r="K8" s="79">
        <v>122</v>
      </c>
      <c r="L8" s="80">
        <v>124</v>
      </c>
      <c r="M8" s="173"/>
      <c r="N8" s="81" t="s">
        <v>17</v>
      </c>
      <c r="O8" s="82" t="s">
        <v>18</v>
      </c>
      <c r="P8" s="83" t="s">
        <v>19</v>
      </c>
      <c r="Q8" s="83" t="s">
        <v>20</v>
      </c>
      <c r="R8" s="83" t="s">
        <v>21</v>
      </c>
      <c r="S8" s="160"/>
      <c r="T8" s="169"/>
      <c r="U8" s="163"/>
      <c r="V8" s="163"/>
      <c r="W8" s="166"/>
      <c r="X8" s="155"/>
      <c r="Y8" s="112"/>
      <c r="Z8" s="155"/>
      <c r="AA8" s="155"/>
      <c r="AB8" s="155"/>
      <c r="AC8" s="70"/>
      <c r="AD8" s="70"/>
      <c r="AE8" s="70"/>
      <c r="AF8" s="70"/>
    </row>
    <row r="9" spans="2:32" s="33" customFormat="1" ht="18" customHeight="1">
      <c r="B9" s="84">
        <v>1</v>
      </c>
      <c r="C9" s="45" t="s">
        <v>32</v>
      </c>
      <c r="D9" s="25">
        <f>'[1]Свод '!$I$77/1000</f>
        <v>5328.1502674687508</v>
      </c>
      <c r="E9" s="25">
        <f t="shared" ref="E9" si="0">(D9-D9*10%)*6%</f>
        <v>287.72011444331253</v>
      </c>
      <c r="F9" s="25">
        <f t="shared" ref="F9" si="1">(D9-D9*10%)*3.5%</f>
        <v>167.83673342526566</v>
      </c>
      <c r="G9" s="25">
        <f t="shared" ref="G9" si="2">D9*2%</f>
        <v>106.56300534937502</v>
      </c>
      <c r="H9" s="85">
        <f>8490*12</f>
        <v>101880</v>
      </c>
      <c r="I9" s="85">
        <f t="shared" ref="I9:I11" si="3">H9*1.5%</f>
        <v>1528.2</v>
      </c>
      <c r="J9" s="85">
        <f>(H9-H9*10%)*6%</f>
        <v>5501.5199999999995</v>
      </c>
      <c r="K9" s="85">
        <f>(H9-H9*10%)*3.5%</f>
        <v>3209.2200000000003</v>
      </c>
      <c r="L9" s="85">
        <f t="shared" ref="L9" si="4">H9*2%</f>
        <v>2037.6000000000001</v>
      </c>
      <c r="M9" s="85">
        <f t="shared" ref="M9" si="5">H9+J9+K9+L9+I9</f>
        <v>114156.54000000001</v>
      </c>
      <c r="N9" s="86"/>
      <c r="O9" s="87">
        <v>3026</v>
      </c>
      <c r="P9" s="87">
        <f>3560+612</f>
        <v>4172</v>
      </c>
      <c r="Q9" s="88">
        <v>0</v>
      </c>
      <c r="R9" s="88">
        <v>29.5</v>
      </c>
      <c r="S9" s="89">
        <v>2084</v>
      </c>
      <c r="T9" s="90"/>
      <c r="U9" s="91"/>
      <c r="V9" s="91"/>
      <c r="W9" s="92">
        <f>M9+N9+O9+P9+Q9+T9+S9+U9+V9+R9</f>
        <v>123468.04000000001</v>
      </c>
      <c r="X9" s="109">
        <f>W9/4+72</f>
        <v>30939.010000000002</v>
      </c>
      <c r="Y9" s="110"/>
      <c r="Z9" s="109">
        <f t="shared" ref="Z9" si="6">(M9+O9+P9+Q9+R9+S9)/4+819</f>
        <v>31686.010000000002</v>
      </c>
      <c r="AA9" s="111">
        <f t="shared" ref="AA9" si="7">(M9+O9+P9+Q9+R9+S9)/4</f>
        <v>30867.010000000002</v>
      </c>
      <c r="AB9" s="109">
        <f>30795.63-819</f>
        <v>29976.63</v>
      </c>
      <c r="AC9" s="96">
        <f t="shared" ref="AC9" si="8">N9/7</f>
        <v>0</v>
      </c>
      <c r="AD9" s="97">
        <f t="shared" ref="AD9:AD11" si="9">X9+Z9+AA9+AB9</f>
        <v>123468.66</v>
      </c>
      <c r="AE9" s="95">
        <f t="shared" ref="AE9" si="10">W9-AD9</f>
        <v>-0.61999999999534339</v>
      </c>
      <c r="AF9" s="96"/>
    </row>
    <row r="10" spans="2:32" s="33" customFormat="1" ht="19.5" customHeight="1">
      <c r="B10" s="98"/>
      <c r="C10" s="45"/>
      <c r="D10" s="25"/>
      <c r="E10" s="25"/>
      <c r="F10" s="25"/>
      <c r="G10" s="25"/>
      <c r="H10" s="85"/>
      <c r="I10" s="85"/>
      <c r="J10" s="85"/>
      <c r="K10" s="85"/>
      <c r="L10" s="85"/>
      <c r="M10" s="85"/>
      <c r="N10" s="86"/>
      <c r="O10" s="87"/>
      <c r="P10" s="87"/>
      <c r="Q10" s="88"/>
      <c r="R10" s="88"/>
      <c r="S10" s="89"/>
      <c r="T10" s="90"/>
      <c r="U10" s="91"/>
      <c r="V10" s="91"/>
      <c r="W10" s="92"/>
      <c r="X10" s="93"/>
      <c r="Y10" s="94"/>
      <c r="Z10" s="93"/>
      <c r="AA10" s="95"/>
      <c r="AB10" s="93"/>
      <c r="AC10" s="96"/>
      <c r="AD10" s="97"/>
      <c r="AE10" s="95"/>
      <c r="AF10" s="96"/>
    </row>
    <row r="11" spans="2:32" s="47" customFormat="1" ht="27" customHeight="1">
      <c r="B11" s="127" t="s">
        <v>33</v>
      </c>
      <c r="C11" s="128"/>
      <c r="D11" s="46">
        <f>SUM(D9:D10)</f>
        <v>5328.1502674687508</v>
      </c>
      <c r="E11" s="25">
        <f>(D11-D11*10%)*6%</f>
        <v>287.72011444331253</v>
      </c>
      <c r="F11" s="25">
        <f>(D11-D11*10%)*3.5%</f>
        <v>167.83673342526566</v>
      </c>
      <c r="G11" s="25">
        <f>D11*2%</f>
        <v>106.56300534937502</v>
      </c>
      <c r="H11" s="99">
        <f>SUM(H9:H10)</f>
        <v>101880</v>
      </c>
      <c r="I11" s="85">
        <f t="shared" si="3"/>
        <v>1528.2</v>
      </c>
      <c r="J11" s="99">
        <f>SUM(J9:J10)</f>
        <v>5501.5199999999995</v>
      </c>
      <c r="K11" s="99">
        <f>SUM(K9:K10)</f>
        <v>3209.2200000000003</v>
      </c>
      <c r="L11" s="99">
        <f>SUM(L9:L10)</f>
        <v>2037.6000000000001</v>
      </c>
      <c r="M11" s="85">
        <f>H11+J11+K11+L11+I11</f>
        <v>114156.54000000001</v>
      </c>
      <c r="N11" s="99">
        <f t="shared" ref="N11:V11" si="11">SUM(N9:N10)</f>
        <v>0</v>
      </c>
      <c r="O11" s="99">
        <f t="shared" si="11"/>
        <v>3026</v>
      </c>
      <c r="P11" s="99">
        <f t="shared" si="11"/>
        <v>4172</v>
      </c>
      <c r="Q11" s="99">
        <f t="shared" si="11"/>
        <v>0</v>
      </c>
      <c r="R11" s="99">
        <f t="shared" si="11"/>
        <v>29.5</v>
      </c>
      <c r="S11" s="99">
        <f t="shared" si="11"/>
        <v>2084</v>
      </c>
      <c r="T11" s="99">
        <f t="shared" si="11"/>
        <v>0</v>
      </c>
      <c r="U11" s="99">
        <f t="shared" si="11"/>
        <v>0</v>
      </c>
      <c r="V11" s="99">
        <f t="shared" si="11"/>
        <v>0</v>
      </c>
      <c r="W11" s="79">
        <f>M11+N11+O11+P11+Q11+T11+S11+U11+V11+R11</f>
        <v>123468.04000000001</v>
      </c>
      <c r="X11" s="79"/>
      <c r="Y11" s="79"/>
      <c r="Z11" s="79"/>
      <c r="AA11" s="79"/>
      <c r="AB11" s="79"/>
      <c r="AC11" s="100"/>
      <c r="AD11" s="97">
        <f t="shared" si="9"/>
        <v>0</v>
      </c>
      <c r="AE11" s="101"/>
      <c r="AF11" s="100"/>
    </row>
    <row r="12" spans="2:32" s="33" customFormat="1" ht="19.5" customHeight="1">
      <c r="B12" s="102"/>
      <c r="C12" s="102"/>
      <c r="D12" s="103"/>
      <c r="E12" s="103"/>
      <c r="F12" s="103"/>
      <c r="G12" s="103"/>
      <c r="H12" s="104"/>
      <c r="I12" s="104"/>
      <c r="J12" s="104"/>
      <c r="K12" s="104"/>
      <c r="L12" s="104"/>
      <c r="M12" s="104"/>
      <c r="N12" s="105"/>
      <c r="O12" s="105"/>
      <c r="P12" s="106"/>
      <c r="Q12" s="107"/>
      <c r="R12" s="107"/>
      <c r="S12" s="106"/>
      <c r="T12" s="106"/>
      <c r="U12" s="106"/>
      <c r="V12" s="106"/>
      <c r="W12" s="108"/>
      <c r="X12" s="96"/>
      <c r="Y12" s="96"/>
      <c r="Z12" s="96"/>
      <c r="AA12" s="96"/>
      <c r="AB12" s="96"/>
      <c r="AC12" s="96"/>
      <c r="AD12" s="96"/>
      <c r="AE12" s="96"/>
      <c r="AF12" s="96"/>
    </row>
    <row r="13" spans="2:32" ht="18.75">
      <c r="B13" s="52"/>
      <c r="C13" s="53"/>
      <c r="D13" s="54"/>
      <c r="E13" s="54"/>
      <c r="F13" s="54"/>
      <c r="G13" s="54"/>
      <c r="H13" s="129"/>
      <c r="I13" s="129"/>
      <c r="J13" s="66"/>
      <c r="K13" s="66"/>
      <c r="L13" s="66"/>
      <c r="M13" s="49"/>
      <c r="N13" s="49"/>
      <c r="O13" s="49"/>
      <c r="P13" s="50"/>
      <c r="Q13" s="50"/>
      <c r="R13" s="50"/>
      <c r="S13" s="50"/>
      <c r="T13" s="50"/>
      <c r="U13" s="50"/>
      <c r="V13" s="50"/>
      <c r="W13" s="51"/>
    </row>
    <row r="14" spans="2:32" ht="18.75">
      <c r="B14" s="52"/>
      <c r="C14" s="53" t="s">
        <v>35</v>
      </c>
      <c r="D14" s="54"/>
      <c r="E14" s="54"/>
      <c r="F14" s="54"/>
      <c r="G14" s="54"/>
      <c r="H14" s="67"/>
      <c r="I14" s="67"/>
      <c r="J14" s="67"/>
      <c r="K14" s="67"/>
      <c r="L14" s="67" t="s">
        <v>36</v>
      </c>
      <c r="M14" s="104"/>
      <c r="N14" s="49"/>
      <c r="O14" s="50"/>
      <c r="P14" s="49"/>
      <c r="Q14" s="50"/>
      <c r="R14" s="50"/>
      <c r="S14" s="50"/>
      <c r="T14" s="50"/>
      <c r="U14" s="50"/>
      <c r="V14" s="50"/>
      <c r="W14" s="51"/>
    </row>
    <row r="15" spans="2:32" ht="15.75">
      <c r="B15" s="58"/>
      <c r="C15" s="59"/>
      <c r="D15" s="60"/>
      <c r="E15" s="60"/>
      <c r="F15" s="60"/>
      <c r="G15" s="60"/>
      <c r="H15" s="61"/>
      <c r="I15" s="61"/>
      <c r="J15" s="61"/>
      <c r="K15" s="61"/>
      <c r="L15" s="61"/>
      <c r="M15" s="61"/>
      <c r="N15" s="61"/>
      <c r="O15" s="49"/>
      <c r="P15" s="50"/>
      <c r="Q15" s="50"/>
      <c r="R15" s="50"/>
      <c r="S15" s="50"/>
      <c r="T15" s="50"/>
      <c r="U15" s="50"/>
      <c r="V15" s="50"/>
      <c r="W15" s="51"/>
    </row>
    <row r="16" spans="2:32" ht="15.75">
      <c r="B16" s="58"/>
      <c r="C16" s="59"/>
      <c r="D16" s="60"/>
      <c r="E16" s="60"/>
      <c r="F16" s="60"/>
      <c r="G16" s="60"/>
      <c r="H16" s="61"/>
      <c r="I16" s="61"/>
      <c r="J16" s="61"/>
      <c r="K16" s="61"/>
      <c r="L16" s="61"/>
      <c r="M16" s="61"/>
      <c r="N16" s="61"/>
      <c r="O16" s="50"/>
      <c r="P16" s="50"/>
      <c r="Q16" s="50"/>
      <c r="R16" s="50"/>
      <c r="S16" s="50"/>
      <c r="T16" s="50"/>
      <c r="U16" s="50"/>
      <c r="V16" s="50"/>
      <c r="W16" s="51"/>
    </row>
    <row r="17" spans="2:23" ht="15.75">
      <c r="B17" s="58"/>
      <c r="C17" s="58"/>
      <c r="D17" s="62"/>
      <c r="E17" s="62"/>
      <c r="F17" s="62"/>
      <c r="G17" s="62"/>
      <c r="H17" s="49"/>
      <c r="I17" s="49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1"/>
    </row>
    <row r="18" spans="2:23">
      <c r="O18" s="64"/>
    </row>
    <row r="19" spans="2:23">
      <c r="O19" s="64"/>
    </row>
  </sheetData>
  <mergeCells count="20">
    <mergeCell ref="C5:Q5"/>
    <mergeCell ref="M6:M8"/>
    <mergeCell ref="N6:S6"/>
    <mergeCell ref="C6:C7"/>
    <mergeCell ref="H6:H7"/>
    <mergeCell ref="I6:L7"/>
    <mergeCell ref="B11:C11"/>
    <mergeCell ref="H13:I13"/>
    <mergeCell ref="AB6:AB8"/>
    <mergeCell ref="E7:G7"/>
    <mergeCell ref="N7:R7"/>
    <mergeCell ref="S7:S8"/>
    <mergeCell ref="U6:U8"/>
    <mergeCell ref="V6:V8"/>
    <mergeCell ref="W6:W8"/>
    <mergeCell ref="X6:X8"/>
    <mergeCell ref="Z6:Z8"/>
    <mergeCell ref="AA6:AA8"/>
    <mergeCell ref="T6:T8"/>
    <mergeCell ref="B6:B7"/>
  </mergeCells>
  <pageMargins left="0.11811023622047245" right="0.11811023622047245" top="0.15748031496062992" bottom="0.15748031496062992" header="0" footer="0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16.10.2024</vt:lpstr>
      <vt:lpstr>РОО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2024-11-04T10:05:57Z</dcterms:modified>
</cp:coreProperties>
</file>