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14490" windowHeight="11760"/>
  </bookViews>
  <sheets>
    <sheet name="Лист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Лист1!$B$1:$B$80</definedName>
  </definedNames>
  <calcPr calcId="124519"/>
</workbook>
</file>

<file path=xl/calcChain.xml><?xml version="1.0" encoding="utf-8"?>
<calcChain xmlns="http://schemas.openxmlformats.org/spreadsheetml/2006/main">
  <c r="G8" i="1"/>
  <c r="G71"/>
  <c r="G69"/>
  <c r="G68"/>
  <c r="G67"/>
  <c r="G66"/>
  <c r="G65"/>
  <c r="G64"/>
  <c r="G63"/>
  <c r="G62"/>
  <c r="G60"/>
  <c r="G59"/>
  <c r="G58"/>
  <c r="G57"/>
  <c r="G56"/>
  <c r="G55"/>
  <c r="G54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70"/>
  <c r="R72" l="1"/>
  <c r="P72"/>
  <c r="J71"/>
  <c r="I71"/>
  <c r="H71"/>
  <c r="C71"/>
  <c r="J70"/>
  <c r="I70"/>
  <c r="H70"/>
  <c r="C70"/>
  <c r="F70" s="1"/>
  <c r="N69"/>
  <c r="M69"/>
  <c r="J69"/>
  <c r="C69"/>
  <c r="E69" s="1"/>
  <c r="M68"/>
  <c r="J68"/>
  <c r="C68"/>
  <c r="M67"/>
  <c r="J67"/>
  <c r="C67"/>
  <c r="N66"/>
  <c r="M66"/>
  <c r="J66"/>
  <c r="C66"/>
  <c r="E66" s="1"/>
  <c r="N65"/>
  <c r="M65"/>
  <c r="C65"/>
  <c r="F65" s="1"/>
  <c r="M64"/>
  <c r="C64"/>
  <c r="F64" s="1"/>
  <c r="M63"/>
  <c r="J63"/>
  <c r="C63"/>
  <c r="F63" s="1"/>
  <c r="M62"/>
  <c r="J62"/>
  <c r="C62"/>
  <c r="F62" s="1"/>
  <c r="J61"/>
  <c r="N60"/>
  <c r="M60"/>
  <c r="J60"/>
  <c r="C60"/>
  <c r="E60" s="1"/>
  <c r="M59"/>
  <c r="C59"/>
  <c r="E59" s="1"/>
  <c r="N58"/>
  <c r="M58"/>
  <c r="J58"/>
  <c r="C58"/>
  <c r="E58" s="1"/>
  <c r="M57"/>
  <c r="J57"/>
  <c r="C57"/>
  <c r="E57" s="1"/>
  <c r="M56"/>
  <c r="J56"/>
  <c r="C56"/>
  <c r="N55"/>
  <c r="M55"/>
  <c r="I55"/>
  <c r="C55"/>
  <c r="E55" s="1"/>
  <c r="N54"/>
  <c r="M54"/>
  <c r="C54"/>
  <c r="F54" s="1"/>
  <c r="J53"/>
  <c r="N52"/>
  <c r="M52"/>
  <c r="C52"/>
  <c r="F52" s="1"/>
  <c r="N51"/>
  <c r="M51"/>
  <c r="J51"/>
  <c r="C51"/>
  <c r="N50"/>
  <c r="M50"/>
  <c r="J50"/>
  <c r="C50"/>
  <c r="L49"/>
  <c r="L72" s="1"/>
  <c r="J49"/>
  <c r="C49"/>
  <c r="N48"/>
  <c r="M48"/>
  <c r="J48"/>
  <c r="C48"/>
  <c r="D48" s="1"/>
  <c r="M47"/>
  <c r="I47"/>
  <c r="C47"/>
  <c r="D47" s="1"/>
  <c r="M46"/>
  <c r="J46"/>
  <c r="C46"/>
  <c r="D46" s="1"/>
  <c r="M45"/>
  <c r="H45"/>
  <c r="C45"/>
  <c r="D45" s="1"/>
  <c r="M44"/>
  <c r="J44"/>
  <c r="C44"/>
  <c r="D44" s="1"/>
  <c r="M43"/>
  <c r="J43"/>
  <c r="C43"/>
  <c r="D43" s="1"/>
  <c r="C42"/>
  <c r="D42" s="1"/>
  <c r="M41"/>
  <c r="C41"/>
  <c r="F41" s="1"/>
  <c r="O40"/>
  <c r="C40"/>
  <c r="D40" s="1"/>
  <c r="J39"/>
  <c r="C39"/>
  <c r="E39" s="1"/>
  <c r="M38"/>
  <c r="I38"/>
  <c r="J38"/>
  <c r="C38"/>
  <c r="M37"/>
  <c r="J37"/>
  <c r="C37"/>
  <c r="N36"/>
  <c r="M36"/>
  <c r="C36"/>
  <c r="F36" s="1"/>
  <c r="O35"/>
  <c r="N35"/>
  <c r="M35"/>
  <c r="I35"/>
  <c r="F35"/>
  <c r="E35"/>
  <c r="D35"/>
  <c r="N34"/>
  <c r="M34"/>
  <c r="C34"/>
  <c r="N33"/>
  <c r="C33"/>
  <c r="F33" s="1"/>
  <c r="N32"/>
  <c r="C32"/>
  <c r="N31"/>
  <c r="M31"/>
  <c r="C31"/>
  <c r="F31" s="1"/>
  <c r="N30"/>
  <c r="M30"/>
  <c r="H30"/>
  <c r="J30"/>
  <c r="C30"/>
  <c r="E30" s="1"/>
  <c r="N29"/>
  <c r="M29"/>
  <c r="J29"/>
  <c r="C29"/>
  <c r="N28"/>
  <c r="M28"/>
  <c r="C28"/>
  <c r="F28" s="1"/>
  <c r="N27"/>
  <c r="M27"/>
  <c r="J27"/>
  <c r="C27"/>
  <c r="D27" s="1"/>
  <c r="N26"/>
  <c r="M26"/>
  <c r="I26"/>
  <c r="C26"/>
  <c r="F26" s="1"/>
  <c r="M25"/>
  <c r="C25"/>
  <c r="N24"/>
  <c r="M24"/>
  <c r="C24"/>
  <c r="F24" s="1"/>
  <c r="N23"/>
  <c r="M23"/>
  <c r="J23"/>
  <c r="C23"/>
  <c r="N22"/>
  <c r="M22"/>
  <c r="J22"/>
  <c r="C22"/>
  <c r="E22" s="1"/>
  <c r="M21"/>
  <c r="J21"/>
  <c r="C21"/>
  <c r="E21" s="1"/>
  <c r="O20"/>
  <c r="M20"/>
  <c r="F20"/>
  <c r="E20"/>
  <c r="D20"/>
  <c r="M19"/>
  <c r="C19"/>
  <c r="M18"/>
  <c r="J18"/>
  <c r="F18"/>
  <c r="E18"/>
  <c r="D18"/>
  <c r="M17"/>
  <c r="J17"/>
  <c r="F17"/>
  <c r="E17"/>
  <c r="D17"/>
  <c r="M16"/>
  <c r="C16"/>
  <c r="F16" s="1"/>
  <c r="N15"/>
  <c r="M15"/>
  <c r="I15"/>
  <c r="C15"/>
  <c r="D15" s="1"/>
  <c r="M14"/>
  <c r="J14"/>
  <c r="C14"/>
  <c r="M13"/>
  <c r="J13"/>
  <c r="C13"/>
  <c r="D13" s="1"/>
  <c r="O12"/>
  <c r="M12"/>
  <c r="J12"/>
  <c r="C12"/>
  <c r="E12" s="1"/>
  <c r="N11"/>
  <c r="M11"/>
  <c r="I11"/>
  <c r="C11"/>
  <c r="F11" s="1"/>
  <c r="N10"/>
  <c r="F10"/>
  <c r="E10"/>
  <c r="D10"/>
  <c r="N9"/>
  <c r="M9"/>
  <c r="I9"/>
  <c r="C9"/>
  <c r="F9" s="1"/>
  <c r="N8"/>
  <c r="M8"/>
  <c r="J8"/>
  <c r="I8"/>
  <c r="C8"/>
  <c r="E8" s="1"/>
  <c r="D31" l="1"/>
  <c r="O72"/>
  <c r="E31"/>
  <c r="F59"/>
  <c r="F60"/>
  <c r="F12"/>
  <c r="E40"/>
  <c r="E42"/>
  <c r="E43"/>
  <c r="I48"/>
  <c r="E63"/>
  <c r="D64"/>
  <c r="D70"/>
  <c r="K71"/>
  <c r="T71" s="1"/>
  <c r="F8"/>
  <c r="F15"/>
  <c r="D24"/>
  <c r="F40"/>
  <c r="F42"/>
  <c r="F43"/>
  <c r="E48"/>
  <c r="I58"/>
  <c r="D59"/>
  <c r="E64"/>
  <c r="F66"/>
  <c r="E70"/>
  <c r="H13"/>
  <c r="H14"/>
  <c r="E16"/>
  <c r="E24"/>
  <c r="F48"/>
  <c r="D11"/>
  <c r="H27"/>
  <c r="D28"/>
  <c r="I29"/>
  <c r="D36"/>
  <c r="I39"/>
  <c r="D41"/>
  <c r="E44"/>
  <c r="I45"/>
  <c r="E46"/>
  <c r="J47"/>
  <c r="D52"/>
  <c r="D54"/>
  <c r="J55"/>
  <c r="D65"/>
  <c r="D9"/>
  <c r="E11"/>
  <c r="F13"/>
  <c r="H15"/>
  <c r="E27"/>
  <c r="E28"/>
  <c r="E36"/>
  <c r="N72"/>
  <c r="E41"/>
  <c r="F44"/>
  <c r="E45"/>
  <c r="J45"/>
  <c r="F46"/>
  <c r="E47"/>
  <c r="E52"/>
  <c r="E54"/>
  <c r="I56"/>
  <c r="D60"/>
  <c r="D62"/>
  <c r="E65"/>
  <c r="K70"/>
  <c r="T70" s="1"/>
  <c r="E9"/>
  <c r="D12"/>
  <c r="E15"/>
  <c r="J15"/>
  <c r="D16"/>
  <c r="F22"/>
  <c r="F27"/>
  <c r="F39"/>
  <c r="F45"/>
  <c r="F47"/>
  <c r="H48"/>
  <c r="K48" s="1"/>
  <c r="T48" s="1"/>
  <c r="D55"/>
  <c r="I57"/>
  <c r="E62"/>
  <c r="D63"/>
  <c r="D66"/>
  <c r="J11"/>
  <c r="H17"/>
  <c r="I30"/>
  <c r="K30" s="1"/>
  <c r="T30" s="1"/>
  <c r="I50"/>
  <c r="H51"/>
  <c r="H68"/>
  <c r="H69"/>
  <c r="I17"/>
  <c r="H43"/>
  <c r="H46"/>
  <c r="I49"/>
  <c r="I51"/>
  <c r="I66"/>
  <c r="H67"/>
  <c r="I68"/>
  <c r="I69"/>
  <c r="I13"/>
  <c r="I14"/>
  <c r="I21"/>
  <c r="I22"/>
  <c r="H23"/>
  <c r="I43"/>
  <c r="I46"/>
  <c r="I67"/>
  <c r="J9"/>
  <c r="I23"/>
  <c r="I27"/>
  <c r="I37"/>
  <c r="H44"/>
  <c r="H47"/>
  <c r="I44"/>
  <c r="H56"/>
  <c r="H57"/>
  <c r="K57" s="1"/>
  <c r="T57" s="1"/>
  <c r="H58"/>
  <c r="I16"/>
  <c r="J16"/>
  <c r="H16"/>
  <c r="I42"/>
  <c r="H42"/>
  <c r="J42"/>
  <c r="E32"/>
  <c r="D32"/>
  <c r="F32"/>
  <c r="M72"/>
  <c r="H34"/>
  <c r="J34"/>
  <c r="I34"/>
  <c r="E25"/>
  <c r="D25"/>
  <c r="F25"/>
  <c r="I31"/>
  <c r="H31"/>
  <c r="J31"/>
  <c r="I59"/>
  <c r="J59"/>
  <c r="H59"/>
  <c r="D67"/>
  <c r="F67"/>
  <c r="E67"/>
  <c r="I24"/>
  <c r="H33"/>
  <c r="J33"/>
  <c r="I33"/>
  <c r="E37"/>
  <c r="F37"/>
  <c r="E38"/>
  <c r="F38"/>
  <c r="D38"/>
  <c r="I10"/>
  <c r="J10"/>
  <c r="E19"/>
  <c r="F19"/>
  <c r="D19"/>
  <c r="H25"/>
  <c r="J25"/>
  <c r="H32"/>
  <c r="J32"/>
  <c r="I32"/>
  <c r="D37"/>
  <c r="H10"/>
  <c r="D14"/>
  <c r="F14"/>
  <c r="H19"/>
  <c r="J24"/>
  <c r="I25"/>
  <c r="I40"/>
  <c r="H40"/>
  <c r="J40"/>
  <c r="E49"/>
  <c r="F49"/>
  <c r="E50"/>
  <c r="F50"/>
  <c r="D50"/>
  <c r="D51"/>
  <c r="F51"/>
  <c r="J54"/>
  <c r="F55"/>
  <c r="H60"/>
  <c r="C72"/>
  <c r="E14"/>
  <c r="I19"/>
  <c r="I20"/>
  <c r="H20"/>
  <c r="D21"/>
  <c r="E29"/>
  <c r="F29"/>
  <c r="E34"/>
  <c r="D34"/>
  <c r="I36"/>
  <c r="H36"/>
  <c r="J36"/>
  <c r="I41"/>
  <c r="H41"/>
  <c r="D49"/>
  <c r="E51"/>
  <c r="I52"/>
  <c r="J52"/>
  <c r="D56"/>
  <c r="F56"/>
  <c r="E56"/>
  <c r="I65"/>
  <c r="H65"/>
  <c r="D8"/>
  <c r="H11"/>
  <c r="J19"/>
  <c r="J20"/>
  <c r="F21"/>
  <c r="D22"/>
  <c r="E26"/>
  <c r="D26"/>
  <c r="D29"/>
  <c r="E33"/>
  <c r="D33"/>
  <c r="F34"/>
  <c r="J41"/>
  <c r="H52"/>
  <c r="D58"/>
  <c r="F58"/>
  <c r="J65"/>
  <c r="D69"/>
  <c r="F69"/>
  <c r="I62"/>
  <c r="H62"/>
  <c r="H26"/>
  <c r="J26"/>
  <c r="I28"/>
  <c r="H28"/>
  <c r="J28"/>
  <c r="H24"/>
  <c r="I54"/>
  <c r="H54"/>
  <c r="I60"/>
  <c r="I63"/>
  <c r="H63"/>
  <c r="G72"/>
  <c r="H12"/>
  <c r="H18"/>
  <c r="D23"/>
  <c r="F23"/>
  <c r="I64"/>
  <c r="H64"/>
  <c r="D68"/>
  <c r="F68"/>
  <c r="E71"/>
  <c r="D71"/>
  <c r="H8"/>
  <c r="K8" s="1"/>
  <c r="H9"/>
  <c r="I12"/>
  <c r="E13"/>
  <c r="I18"/>
  <c r="E23"/>
  <c r="D30"/>
  <c r="F30"/>
  <c r="H35"/>
  <c r="J35"/>
  <c r="D39"/>
  <c r="D57"/>
  <c r="F57"/>
  <c r="J64"/>
  <c r="E68"/>
  <c r="F71"/>
  <c r="H21"/>
  <c r="K21" s="1"/>
  <c r="T21" s="1"/>
  <c r="H22"/>
  <c r="H29"/>
  <c r="H37"/>
  <c r="H38"/>
  <c r="K38" s="1"/>
  <c r="T38" s="1"/>
  <c r="H39"/>
  <c r="H49"/>
  <c r="H50"/>
  <c r="H55"/>
  <c r="K55" s="1"/>
  <c r="T55" s="1"/>
  <c r="H66"/>
  <c r="K22" l="1"/>
  <c r="T22" s="1"/>
  <c r="K27"/>
  <c r="T27" s="1"/>
  <c r="K63"/>
  <c r="T63" s="1"/>
  <c r="K11"/>
  <c r="T11" s="1"/>
  <c r="K58"/>
  <c r="T58" s="1"/>
  <c r="K14"/>
  <c r="T14" s="1"/>
  <c r="K19"/>
  <c r="T19" s="1"/>
  <c r="K15"/>
  <c r="T15" s="1"/>
  <c r="K29"/>
  <c r="T29" s="1"/>
  <c r="K13"/>
  <c r="T13" s="1"/>
  <c r="K43"/>
  <c r="T43" s="1"/>
  <c r="K66"/>
  <c r="T66" s="1"/>
  <c r="K39"/>
  <c r="T39" s="1"/>
  <c r="K9"/>
  <c r="T9" s="1"/>
  <c r="K52"/>
  <c r="T52" s="1"/>
  <c r="K32"/>
  <c r="T32" s="1"/>
  <c r="K56"/>
  <c r="T56" s="1"/>
  <c r="K67"/>
  <c r="T67" s="1"/>
  <c r="K17"/>
  <c r="T17" s="1"/>
  <c r="K45"/>
  <c r="T45" s="1"/>
  <c r="K40"/>
  <c r="T40" s="1"/>
  <c r="K42"/>
  <c r="T42" s="1"/>
  <c r="K37"/>
  <c r="T37" s="1"/>
  <c r="K18"/>
  <c r="T18" s="1"/>
  <c r="K65"/>
  <c r="T65" s="1"/>
  <c r="K36"/>
  <c r="T36" s="1"/>
  <c r="K34"/>
  <c r="T34" s="1"/>
  <c r="K47"/>
  <c r="T47" s="1"/>
  <c r="K69"/>
  <c r="T69" s="1"/>
  <c r="K49"/>
  <c r="T49" s="1"/>
  <c r="K26"/>
  <c r="T26" s="1"/>
  <c r="K41"/>
  <c r="T41" s="1"/>
  <c r="K31"/>
  <c r="T31" s="1"/>
  <c r="K16"/>
  <c r="T16" s="1"/>
  <c r="K44"/>
  <c r="T44" s="1"/>
  <c r="K23"/>
  <c r="T23" s="1"/>
  <c r="K64"/>
  <c r="T64" s="1"/>
  <c r="K12"/>
  <c r="T12" s="1"/>
  <c r="K54"/>
  <c r="T54" s="1"/>
  <c r="J72"/>
  <c r="K10"/>
  <c r="T10" s="1"/>
  <c r="K25"/>
  <c r="T25" s="1"/>
  <c r="K59"/>
  <c r="T59" s="1"/>
  <c r="K50"/>
  <c r="T50" s="1"/>
  <c r="K33"/>
  <c r="T33" s="1"/>
  <c r="K35"/>
  <c r="T35" s="1"/>
  <c r="K24"/>
  <c r="T24" s="1"/>
  <c r="K60"/>
  <c r="T60" s="1"/>
  <c r="K46"/>
  <c r="T46" s="1"/>
  <c r="K68"/>
  <c r="T68" s="1"/>
  <c r="K28"/>
  <c r="T28" s="1"/>
  <c r="I72"/>
  <c r="K62"/>
  <c r="T62" s="1"/>
  <c r="K51"/>
  <c r="T51" s="1"/>
  <c r="K20"/>
  <c r="T20" s="1"/>
  <c r="F72"/>
  <c r="D72"/>
  <c r="E72"/>
  <c r="H72"/>
  <c r="T8"/>
  <c r="K72" l="1"/>
  <c r="T72" s="1"/>
</calcChain>
</file>

<file path=xl/sharedStrings.xml><?xml version="1.0" encoding="utf-8"?>
<sst xmlns="http://schemas.openxmlformats.org/spreadsheetml/2006/main" count="87" uniqueCount="86">
  <si>
    <t xml:space="preserve">Сводная информация по открытым бюджетам  за 2023 год </t>
  </si>
  <si>
    <t>№</t>
  </si>
  <si>
    <t xml:space="preserve">ФЗП за год </t>
  </si>
  <si>
    <t xml:space="preserve">Налоги </t>
  </si>
  <si>
    <t xml:space="preserve">ИТОГО по зар.пл/ с налогами </t>
  </si>
  <si>
    <t xml:space="preserve">содержание школ </t>
  </si>
  <si>
    <t>оплата работ услуг/медосмотр, выкачка</t>
  </si>
  <si>
    <t xml:space="preserve">Общие затраты школ на 2023 год </t>
  </si>
  <si>
    <t>в месяц  МБ+РБ</t>
  </si>
  <si>
    <t xml:space="preserve">з/пл  </t>
  </si>
  <si>
    <t>налоги</t>
  </si>
  <si>
    <t>Коомунальные расходы</t>
  </si>
  <si>
    <t>ГСМ /144</t>
  </si>
  <si>
    <t>111  год</t>
  </si>
  <si>
    <t>расход угля</t>
  </si>
  <si>
    <t>эл/энергия год</t>
  </si>
  <si>
    <t>услуги связи год/152</t>
  </si>
  <si>
    <t xml:space="preserve">вода </t>
  </si>
  <si>
    <t>Абайская средняя школа</t>
  </si>
  <si>
    <t>модерниз</t>
  </si>
  <si>
    <t>Айдабульская средняя школа</t>
  </si>
  <si>
    <t>Аккольская средняя школа</t>
  </si>
  <si>
    <t>Акадырская средняя школа</t>
  </si>
  <si>
    <t>Алексеевская средняя школа</t>
  </si>
  <si>
    <t>Еликтинская  средняя школа</t>
  </si>
  <si>
    <t>Бирлистыкская средняя школа</t>
  </si>
  <si>
    <t>Викторовская средняя школа</t>
  </si>
  <si>
    <t>Доломитовская средняя школа</t>
  </si>
  <si>
    <t>Еленовская средняя школа</t>
  </si>
  <si>
    <t>ЗСШ № 1</t>
  </si>
  <si>
    <t>ЗКСШ</t>
  </si>
  <si>
    <t>Зерендинская средняя школа № 2</t>
  </si>
  <si>
    <t>Игликская казахская средняя школа</t>
  </si>
  <si>
    <t>Исаковская средняя школа</t>
  </si>
  <si>
    <t>Оркенская  средняя школа</t>
  </si>
  <si>
    <t>Кызылсаянская средняя школа</t>
  </si>
  <si>
    <t>Кызылтанская средняя школа</t>
  </si>
  <si>
    <t>Молодожненская средняя школа</t>
  </si>
  <si>
    <t>Ортагашская основная школа</t>
  </si>
  <si>
    <t>Ортакская средняя школа</t>
  </si>
  <si>
    <t>Приреченская средняя школа</t>
  </si>
  <si>
    <t>Озенская средняя школа</t>
  </si>
  <si>
    <t>Садовская средняя  школа</t>
  </si>
  <si>
    <t>Сейфуллинская средняя школа</t>
  </si>
  <si>
    <t>Симферопольская средняя школа</t>
  </si>
  <si>
    <t>Чаглинская  СШ</t>
  </si>
  <si>
    <t>Азатская основная школа</t>
  </si>
  <si>
    <t>Айдарлинская основная школа</t>
  </si>
  <si>
    <t>Аканская основная школа</t>
  </si>
  <si>
    <t>Байтерекская средняя школа</t>
  </si>
  <si>
    <t>Баратайская основная школа</t>
  </si>
  <si>
    <t>Булакская начальная  школа</t>
  </si>
  <si>
    <t>Васильковская основная школа</t>
  </si>
  <si>
    <t>Гранитная основная школа</t>
  </si>
  <si>
    <t>Донгулагашская основная школа</t>
  </si>
  <si>
    <t>Жолдыбайская основная школа</t>
  </si>
  <si>
    <t>Жылымдинская основная школа</t>
  </si>
  <si>
    <t>Зареченская основная школа</t>
  </si>
  <si>
    <t>Карабулакская основная школа</t>
  </si>
  <si>
    <t>Казахстанская начальная школа</t>
  </si>
  <si>
    <t>Кенеоткельская основная школа</t>
  </si>
  <si>
    <t>Коктерекская основная школа</t>
  </si>
  <si>
    <t>Костомаровская основная школа</t>
  </si>
  <si>
    <t>Краснокордонская основная школа</t>
  </si>
  <si>
    <t>Кызылегиская основная школа</t>
  </si>
  <si>
    <t>Малотюктинская основная школа</t>
  </si>
  <si>
    <t xml:space="preserve"> Ескенижалская основная школа</t>
  </si>
  <si>
    <t>Пухальская основная школа</t>
  </si>
  <si>
    <t>Уголковская основная школа</t>
  </si>
  <si>
    <t>Чаглинская основная школа</t>
  </si>
  <si>
    <t>Уялинская начальная школа</t>
  </si>
  <si>
    <t>Жанаульская начальная школа</t>
  </si>
  <si>
    <t>Ивановская начальная школа</t>
  </si>
  <si>
    <t>Павловская начальная школа</t>
  </si>
  <si>
    <t>Карагайская  начальная школа</t>
  </si>
  <si>
    <t>Караузекская начальная школа</t>
  </si>
  <si>
    <t>Карсакская начальная школа</t>
  </si>
  <si>
    <t>Красиловская начальная школа</t>
  </si>
  <si>
    <t xml:space="preserve">ГУ Отдел образования </t>
  </si>
  <si>
    <t>Вечерка</t>
  </si>
  <si>
    <t>ИТОГО:</t>
  </si>
  <si>
    <t>тыс.т.</t>
  </si>
  <si>
    <t xml:space="preserve">Руководитель </t>
  </si>
  <si>
    <t>Нурова Д.Ш.</t>
  </si>
  <si>
    <t>в тыс.тенге</t>
  </si>
  <si>
    <t>Троицкая основная  школа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</si>
</sst>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[$-419]General"/>
  </numFmts>
  <fonts count="22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name val="Tahoma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8" fillId="0" borderId="0" applyBorder="0" applyProtection="0"/>
  </cellStyleXfs>
  <cellXfs count="125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3" fontId="5" fillId="2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165" fontId="9" fillId="2" borderId="7" xfId="1" applyFont="1" applyFill="1" applyBorder="1" applyAlignment="1">
      <alignment horizontal="center" vertical="center" wrapText="1"/>
    </xf>
    <xf numFmtId="165" fontId="10" fillId="2" borderId="8" xfId="1" applyFont="1" applyFill="1" applyBorder="1" applyAlignment="1">
      <alignment vertical="top" wrapText="1"/>
    </xf>
    <xf numFmtId="2" fontId="10" fillId="2" borderId="7" xfId="1" applyNumberFormat="1" applyFont="1" applyFill="1" applyBorder="1" applyAlignment="1">
      <alignment vertical="top" wrapText="1"/>
    </xf>
    <xf numFmtId="164" fontId="10" fillId="2" borderId="7" xfId="1" applyNumberFormat="1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0" fillId="2" borderId="0" xfId="0" applyFill="1"/>
    <xf numFmtId="165" fontId="9" fillId="2" borderId="10" xfId="1" applyFont="1" applyFill="1" applyBorder="1" applyAlignment="1">
      <alignment horizontal="center" vertical="center" wrapText="1"/>
    </xf>
    <xf numFmtId="165" fontId="10" fillId="2" borderId="11" xfId="1" applyFont="1" applyFill="1" applyBorder="1" applyAlignment="1">
      <alignment vertical="top" wrapText="1"/>
    </xf>
    <xf numFmtId="3" fontId="4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5" fontId="9" fillId="4" borderId="12" xfId="1" applyFont="1" applyFill="1" applyBorder="1" applyAlignment="1">
      <alignment horizontal="center" vertical="center" wrapText="1"/>
    </xf>
    <xf numFmtId="165" fontId="10" fillId="4" borderId="13" xfId="1" applyFont="1" applyFill="1" applyBorder="1" applyAlignment="1">
      <alignment vertical="top" wrapText="1"/>
    </xf>
    <xf numFmtId="164" fontId="10" fillId="4" borderId="7" xfId="1" applyNumberFormat="1" applyFont="1" applyFill="1" applyBorder="1" applyAlignment="1">
      <alignment vertical="top" wrapText="1"/>
    </xf>
    <xf numFmtId="3" fontId="4" fillId="4" borderId="9" xfId="0" applyNumberFormat="1" applyFont="1" applyFill="1" applyBorder="1" applyAlignment="1">
      <alignment horizontal="center"/>
    </xf>
    <xf numFmtId="3" fontId="4" fillId="4" borderId="7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0" fontId="6" fillId="4" borderId="8" xfId="0" applyFont="1" applyFill="1" applyBorder="1" applyAlignment="1">
      <alignment vertical="top" wrapText="1"/>
    </xf>
    <xf numFmtId="3" fontId="4" fillId="4" borderId="7" xfId="0" applyNumberFormat="1" applyFont="1" applyFill="1" applyBorder="1" applyAlignment="1">
      <alignment horizontal="center" vertical="center" wrapText="1"/>
    </xf>
    <xf numFmtId="0" fontId="0" fillId="4" borderId="0" xfId="0" applyFill="1"/>
    <xf numFmtId="165" fontId="9" fillId="2" borderId="12" xfId="1" applyFont="1" applyFill="1" applyBorder="1" applyAlignment="1">
      <alignment horizontal="center" vertical="center" wrapText="1"/>
    </xf>
    <xf numFmtId="165" fontId="10" fillId="2" borderId="13" xfId="1" applyFont="1" applyFill="1" applyBorder="1" applyAlignment="1">
      <alignment vertical="top" wrapText="1"/>
    </xf>
    <xf numFmtId="3" fontId="4" fillId="5" borderId="7" xfId="0" applyNumberFormat="1" applyFont="1" applyFill="1" applyBorder="1" applyAlignment="1">
      <alignment horizontal="center"/>
    </xf>
    <xf numFmtId="164" fontId="10" fillId="2" borderId="7" xfId="1" applyNumberFormat="1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vertical="top" wrapText="1"/>
    </xf>
    <xf numFmtId="3" fontId="6" fillId="4" borderId="8" xfId="0" applyNumberFormat="1" applyFont="1" applyFill="1" applyBorder="1" applyAlignment="1">
      <alignment vertical="top" wrapText="1"/>
    </xf>
    <xf numFmtId="165" fontId="11" fillId="2" borderId="12" xfId="1" applyFont="1" applyFill="1" applyBorder="1" applyAlignment="1">
      <alignment horizontal="center" vertical="center" wrapText="1"/>
    </xf>
    <xf numFmtId="165" fontId="12" fillId="2" borderId="13" xfId="1" applyFont="1" applyFill="1" applyBorder="1" applyAlignment="1">
      <alignment vertical="top" wrapText="1"/>
    </xf>
    <xf numFmtId="164" fontId="12" fillId="2" borderId="7" xfId="1" applyNumberFormat="1" applyFont="1" applyFill="1" applyBorder="1" applyAlignment="1">
      <alignment vertical="top" wrapText="1"/>
    </xf>
    <xf numFmtId="3" fontId="13" fillId="2" borderId="9" xfId="0" applyNumberFormat="1" applyFont="1" applyFill="1" applyBorder="1" applyAlignment="1">
      <alignment horizontal="center"/>
    </xf>
    <xf numFmtId="3" fontId="13" fillId="2" borderId="7" xfId="0" applyNumberFormat="1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4" fillId="2" borderId="0" xfId="0" applyFont="1" applyFill="1"/>
    <xf numFmtId="165" fontId="9" fillId="2" borderId="13" xfId="1" applyFont="1" applyFill="1" applyBorder="1" applyAlignment="1">
      <alignment horizontal="center" vertical="center" wrapText="1"/>
    </xf>
    <xf numFmtId="165" fontId="10" fillId="2" borderId="13" xfId="1" applyFont="1" applyFill="1" applyBorder="1" applyAlignment="1"/>
    <xf numFmtId="164" fontId="10" fillId="2" borderId="7" xfId="1" applyNumberFormat="1" applyFont="1" applyFill="1" applyBorder="1" applyAlignment="1"/>
    <xf numFmtId="165" fontId="15" fillId="2" borderId="12" xfId="1" applyFont="1" applyFill="1" applyBorder="1" applyAlignment="1">
      <alignment horizontal="center" vertical="center" wrapText="1"/>
    </xf>
    <xf numFmtId="165" fontId="16" fillId="2" borderId="13" xfId="1" applyFont="1" applyFill="1" applyBorder="1" applyAlignment="1"/>
    <xf numFmtId="164" fontId="16" fillId="2" borderId="7" xfId="1" applyNumberFormat="1" applyFont="1" applyFill="1" applyBorder="1" applyAlignment="1"/>
    <xf numFmtId="3" fontId="17" fillId="2" borderId="7" xfId="0" applyNumberFormat="1" applyFont="1" applyFill="1" applyBorder="1" applyAlignment="1">
      <alignment horizontal="center"/>
    </xf>
    <xf numFmtId="0" fontId="18" fillId="2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3" fontId="19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164" fontId="21" fillId="0" borderId="0" xfId="0" applyNumberFormat="1" applyFont="1"/>
    <xf numFmtId="3" fontId="21" fillId="2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164" fontId="20" fillId="0" borderId="0" xfId="0" applyNumberFormat="1" applyFont="1"/>
    <xf numFmtId="3" fontId="20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164" fontId="4" fillId="0" borderId="0" xfId="0" applyNumberFormat="1" applyFont="1"/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3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54;&#1090;&#1082;&#1088;&#1099;&#1090;&#1099;&#1077;%20&#1073;&#1102;&#1076;&#1078;&#1077;&#1090;&#1099;%202022/&#1040;&#1040;&#1040;1.01.%20&#1058;&#1072;&#1088;&#1080;&#1092;&#1080;&#1082;&#1072;&#1094;&#1080;&#1103;%20%20%202021&#1075;&#1086;&#1076;/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88;&#1080;&#1092;%2001.09.2023%20&#8212;%20&#1080;&#1089;&#1087;&#1088;&#1072;&#1074;&#1083;\&#1064;&#1058;&#1040;&#1058;&#1053;&#1054;&#1045;%20&#1064;&#1050;&#1054;&#1051;&#106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2022&#1075;%20&#1059;&#1054;/2023&#1075;%20&#1080;&#1085;&#1092;&#1086;&#1088;&#1084;&#1072;&#1094;&#1080;&#1103;%20&#1087;&#1086;%20&#1087;&#1086;&#1083;&#1085;&#1086;&#1082;&#1086;&#1084;&#1087;&#1083;&#1077;&#1082;&#1090;&#1085;&#1099;&#1084;%20&#1096;&#1082;&#1086;&#1083;&#1072;&#1084;%202021-2026&#1075;&#1075;/&#1055;&#1086;&#1089;&#1083;&#1077;&#1076;&#1085;&#1077;&#1077;%20&#1087;&#1088;&#1080;&#1083;&#1086;&#1078;%201,2,3,4,5%20&#1087;&#1086;%20&#1047;&#1077;&#1088;&#1077;&#1085;&#1076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7">
          <cell r="J7">
            <v>12013720.855255393</v>
          </cell>
        </row>
        <row r="8">
          <cell r="J8">
            <v>8629271.2720314339</v>
          </cell>
        </row>
        <row r="9">
          <cell r="J9">
            <v>7625100.2980835158</v>
          </cell>
        </row>
        <row r="11">
          <cell r="J11">
            <v>9385117.6688126847</v>
          </cell>
        </row>
        <row r="12">
          <cell r="J12">
            <v>7425181.3609999996</v>
          </cell>
        </row>
        <row r="13">
          <cell r="J13">
            <v>13746179.402885601</v>
          </cell>
        </row>
        <row r="15">
          <cell r="J15">
            <v>7837638.0911145825</v>
          </cell>
        </row>
        <row r="17">
          <cell r="J17">
            <v>15896303.081448099</v>
          </cell>
        </row>
        <row r="19">
          <cell r="J19">
            <v>7732127.8151980983</v>
          </cell>
        </row>
        <row r="20">
          <cell r="J20">
            <v>5306275.8012449741</v>
          </cell>
        </row>
        <row r="21">
          <cell r="J21">
            <v>7141379.7636512872</v>
          </cell>
        </row>
        <row r="22">
          <cell r="J22">
            <v>6462736.9432605999</v>
          </cell>
        </row>
        <row r="23">
          <cell r="J23">
            <v>14444194.371994976</v>
          </cell>
        </row>
        <row r="24">
          <cell r="J24">
            <v>9823182.4827918485</v>
          </cell>
        </row>
        <row r="25">
          <cell r="J25">
            <v>6848269.5907918485</v>
          </cell>
        </row>
        <row r="26">
          <cell r="J26">
            <v>4381301.3616408091</v>
          </cell>
        </row>
        <row r="27">
          <cell r="J27">
            <v>8205632.5673637241</v>
          </cell>
        </row>
        <row r="28">
          <cell r="J28">
            <v>9770760.7949533071</v>
          </cell>
        </row>
        <row r="29">
          <cell r="J29">
            <v>10489088.921817891</v>
          </cell>
        </row>
        <row r="30">
          <cell r="J30">
            <v>6201442.2744585164</v>
          </cell>
        </row>
        <row r="31">
          <cell r="J31">
            <v>7591403.3973699752</v>
          </cell>
        </row>
        <row r="32">
          <cell r="J32">
            <v>6678490.0416564327</v>
          </cell>
        </row>
        <row r="34">
          <cell r="J34">
            <v>6468239.5284918509</v>
          </cell>
        </row>
        <row r="35">
          <cell r="J35">
            <v>3807968.9260522663</v>
          </cell>
        </row>
        <row r="36">
          <cell r="J36">
            <v>4405815.0499579459</v>
          </cell>
        </row>
        <row r="37">
          <cell r="J37">
            <v>750940.86783294729</v>
          </cell>
        </row>
        <row r="38">
          <cell r="J38">
            <v>4116466.6800585166</v>
          </cell>
        </row>
        <row r="39">
          <cell r="J39">
            <v>7587091.2818296626</v>
          </cell>
        </row>
        <row r="40">
          <cell r="J40">
            <v>4508878.2471876815</v>
          </cell>
        </row>
        <row r="41">
          <cell r="J41">
            <v>8241468.3737085164</v>
          </cell>
        </row>
        <row r="42">
          <cell r="J42">
            <v>6425079.5290933633</v>
          </cell>
        </row>
        <row r="43">
          <cell r="J43">
            <v>3725833.7278121137</v>
          </cell>
        </row>
        <row r="44">
          <cell r="J44">
            <v>5387875.1330599748</v>
          </cell>
        </row>
        <row r="45">
          <cell r="J45">
            <v>3701828.7106355992</v>
          </cell>
        </row>
        <row r="46">
          <cell r="J46">
            <v>4431680.345279349</v>
          </cell>
        </row>
        <row r="47">
          <cell r="J47">
            <v>970772.16614128044</v>
          </cell>
        </row>
        <row r="48">
          <cell r="J48">
            <v>3733460.5312137241</v>
          </cell>
        </row>
        <row r="50">
          <cell r="J50">
            <v>3114140.2739293016</v>
          </cell>
        </row>
        <row r="51">
          <cell r="J51">
            <v>5683780.2916720584</v>
          </cell>
        </row>
        <row r="52">
          <cell r="J52">
            <v>3830868.4139168495</v>
          </cell>
        </row>
        <row r="53">
          <cell r="J53">
            <v>3357714.7371766972</v>
          </cell>
        </row>
        <row r="55">
          <cell r="J55">
            <v>4295933.2007964896</v>
          </cell>
        </row>
        <row r="56">
          <cell r="J56">
            <v>3834752.3088121144</v>
          </cell>
        </row>
        <row r="57">
          <cell r="J57">
            <v>7420792.3418682674</v>
          </cell>
        </row>
        <row r="58">
          <cell r="J58">
            <v>3217411.9115719004</v>
          </cell>
        </row>
        <row r="59">
          <cell r="J59">
            <v>8821575.2963335179</v>
          </cell>
        </row>
        <row r="60">
          <cell r="J60">
            <v>1565619.1166996141</v>
          </cell>
        </row>
        <row r="61">
          <cell r="J61">
            <v>1148854.4637297257</v>
          </cell>
        </row>
        <row r="62">
          <cell r="J62">
            <v>1161630.3581651424</v>
          </cell>
        </row>
        <row r="63">
          <cell r="J63">
            <v>1032842.529894309</v>
          </cell>
        </row>
        <row r="64">
          <cell r="J64">
            <v>869213.7286037805</v>
          </cell>
        </row>
        <row r="65">
          <cell r="J65">
            <v>1154810.2987829472</v>
          </cell>
        </row>
        <row r="67">
          <cell r="J67">
            <v>1292308.1337484759</v>
          </cell>
        </row>
        <row r="68">
          <cell r="J68">
            <v>1052652.9652704471</v>
          </cell>
        </row>
        <row r="69">
          <cell r="J69">
            <v>4058489.9515520833</v>
          </cell>
        </row>
        <row r="77">
          <cell r="I77">
            <v>5328150.2674687505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йдаб"/>
      <sheetName val="Абай"/>
      <sheetName val="Акколь"/>
      <sheetName val="Аккадыр"/>
      <sheetName val="Алексеевка"/>
      <sheetName val="Викторовка"/>
      <sheetName val="Еликты"/>
      <sheetName val="Бирлестык"/>
      <sheetName val="Еленовка"/>
      <sheetName val="Доломитово"/>
      <sheetName val="ЗСШ №1"/>
      <sheetName val="ЗКСШ"/>
      <sheetName val="1 окт ЗСШ №2 гард"/>
      <sheetName val="ЗСШ №2"/>
      <sheetName val="Исаковка"/>
      <sheetName val="Иглик"/>
      <sheetName val="К-тан "/>
      <sheetName val="Кызылсая"/>
      <sheetName val="Троицк"/>
      <sheetName val="Молодеж"/>
      <sheetName val="10 окт Ортагаш"/>
      <sheetName val="ортагаш"/>
      <sheetName val="озен"/>
      <sheetName val="Приречн"/>
      <sheetName val="ортак"/>
      <sheetName val="Сейфул"/>
      <sheetName val="Оркен"/>
      <sheetName val="Садовое"/>
      <sheetName val="Чаглинка СШ"/>
      <sheetName val="Азат"/>
      <sheetName val="Симфероп"/>
      <sheetName val="Айдарлы"/>
      <sheetName val="Акан"/>
      <sheetName val="Барат"/>
      <sheetName val="Байтерек"/>
      <sheetName val="с ноября Булак"/>
      <sheetName val="булак нш"/>
      <sheetName val="Гранит"/>
      <sheetName val="Зареч"/>
      <sheetName val="Донг"/>
      <sheetName val="Жолд"/>
      <sheetName val="Жылым"/>
      <sheetName val="канайби"/>
      <sheetName val="Казахстан"/>
      <sheetName val="Кр.кордон"/>
      <sheetName val=" Карлык"/>
      <sheetName val="Кост"/>
      <sheetName val="Чаглинская ОШ"/>
      <sheetName val="Кенеткуль"/>
      <sheetName val="Коктерек"/>
      <sheetName val="17 окт к-егис"/>
      <sheetName val="К-егис"/>
      <sheetName val="Васильковка"/>
      <sheetName val="Мало-тюкты"/>
      <sheetName val="17 окт Ескенижал"/>
      <sheetName val="Ескенижал"/>
      <sheetName val="Малика Габд"/>
      <sheetName val="Красиловка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водители"/>
      <sheetName val="Инклю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7">
          <cell r="L7">
            <v>222545.24427150018</v>
          </cell>
        </row>
        <row r="8">
          <cell r="L8">
            <v>200669.33216085</v>
          </cell>
        </row>
        <row r="9">
          <cell r="L9">
            <v>140216.36433459798</v>
          </cell>
        </row>
        <row r="10">
          <cell r="L10">
            <v>141466.73128144519</v>
          </cell>
        </row>
        <row r="11">
          <cell r="L11">
            <v>257694.01540517405</v>
          </cell>
        </row>
        <row r="12">
          <cell r="L12">
            <v>161743.57950947297</v>
          </cell>
        </row>
        <row r="13">
          <cell r="L13">
            <v>129626.05182792019</v>
          </cell>
        </row>
        <row r="14">
          <cell r="L14">
            <v>131436.28634382659</v>
          </cell>
        </row>
        <row r="15">
          <cell r="L15">
            <v>228593.61238337349</v>
          </cell>
        </row>
        <row r="16">
          <cell r="L16">
            <v>256933.06384470104</v>
          </cell>
        </row>
        <row r="17">
          <cell r="L17">
            <v>141459.21816581156</v>
          </cell>
        </row>
        <row r="18">
          <cell r="L18">
            <v>442409.23917389999</v>
          </cell>
        </row>
        <row r="19">
          <cell r="L19">
            <v>263782.10526794998</v>
          </cell>
        </row>
        <row r="20">
          <cell r="L20">
            <v>240862.00331654996</v>
          </cell>
        </row>
        <row r="21">
          <cell r="L21">
            <v>135089.484413873</v>
          </cell>
        </row>
        <row r="22">
          <cell r="L22">
            <v>103040.4007042952</v>
          </cell>
        </row>
        <row r="23">
          <cell r="L23">
            <v>107294.28489870527</v>
          </cell>
        </row>
        <row r="24">
          <cell r="L24">
            <v>122701.08837919518</v>
          </cell>
        </row>
        <row r="25">
          <cell r="L25">
            <v>244782.84277412301</v>
          </cell>
        </row>
        <row r="26">
          <cell r="L26">
            <v>158744.82258206297</v>
          </cell>
        </row>
        <row r="27">
          <cell r="L27">
            <v>124884.16688087296</v>
          </cell>
        </row>
        <row r="28">
          <cell r="L28">
            <v>69010.19392164798</v>
          </cell>
        </row>
        <row r="29">
          <cell r="L29">
            <v>127682.84790177798</v>
          </cell>
        </row>
        <row r="30">
          <cell r="L30">
            <v>163577.25573617715</v>
          </cell>
        </row>
        <row r="31">
          <cell r="L31">
            <v>183100.22207349981</v>
          </cell>
        </row>
        <row r="32">
          <cell r="L32">
            <v>77777.301857733997</v>
          </cell>
        </row>
        <row r="33">
          <cell r="L33">
            <v>138290.50693998553</v>
          </cell>
        </row>
        <row r="34">
          <cell r="L34">
            <v>127850.87805197298</v>
          </cell>
        </row>
        <row r="35">
          <cell r="L35">
            <v>278183.02253505104</v>
          </cell>
        </row>
        <row r="36">
          <cell r="L36">
            <v>102575.32456188902</v>
          </cell>
        </row>
        <row r="37">
          <cell r="L37">
            <v>87680.03188158448</v>
          </cell>
        </row>
        <row r="38">
          <cell r="L38">
            <v>75420.26173245105</v>
          </cell>
        </row>
        <row r="39">
          <cell r="L39">
            <v>61835.555182837204</v>
          </cell>
        </row>
        <row r="40">
          <cell r="L40">
            <v>70115.72953744969</v>
          </cell>
        </row>
        <row r="41">
          <cell r="L41">
            <v>152622.42331105011</v>
          </cell>
        </row>
        <row r="42">
          <cell r="L42">
            <v>126603.96451635</v>
          </cell>
        </row>
        <row r="43">
          <cell r="L43">
            <v>80384.962363995379</v>
          </cell>
        </row>
        <row r="44">
          <cell r="L44">
            <v>109014.4965040087</v>
          </cell>
        </row>
        <row r="45">
          <cell r="L45">
            <v>64354.772667258694</v>
          </cell>
        </row>
        <row r="46">
          <cell r="L46">
            <v>77595.338628082725</v>
          </cell>
        </row>
        <row r="47">
          <cell r="L47">
            <v>29777.094759322979</v>
          </cell>
        </row>
        <row r="48">
          <cell r="L48">
            <v>23017.535838708693</v>
          </cell>
        </row>
        <row r="49">
          <cell r="L49">
            <v>111122.03006220105</v>
          </cell>
        </row>
        <row r="50">
          <cell r="L50">
            <v>57350.19940832298</v>
          </cell>
        </row>
        <row r="51">
          <cell r="L51">
            <v>63788.402945208698</v>
          </cell>
        </row>
        <row r="53">
          <cell r="L53">
            <v>80921.271330483694</v>
          </cell>
        </row>
        <row r="54">
          <cell r="L54">
            <v>56347.133549756414</v>
          </cell>
        </row>
        <row r="55">
          <cell r="L55">
            <v>120137.82812379798</v>
          </cell>
        </row>
        <row r="56">
          <cell r="L56">
            <v>41908.555514177329</v>
          </cell>
        </row>
        <row r="57">
          <cell r="L57">
            <v>153597.78096463013</v>
          </cell>
        </row>
        <row r="58">
          <cell r="L58">
            <v>24740.324184656172</v>
          </cell>
        </row>
        <row r="59">
          <cell r="L59">
            <v>18553.081182644404</v>
          </cell>
        </row>
        <row r="60">
          <cell r="L60">
            <v>29680.38904054806</v>
          </cell>
        </row>
        <row r="61">
          <cell r="L61">
            <v>16356.151792244405</v>
          </cell>
        </row>
        <row r="62">
          <cell r="L62">
            <v>14193.410299694404</v>
          </cell>
        </row>
        <row r="63">
          <cell r="L63">
            <v>18853.246660994402</v>
          </cell>
        </row>
        <row r="64">
          <cell r="L64">
            <v>16326.866299694404</v>
          </cell>
        </row>
        <row r="65">
          <cell r="L65">
            <v>13251.594896714405</v>
          </cell>
        </row>
        <row r="66">
          <cell r="L66">
            <v>11440.936390106177</v>
          </cell>
        </row>
        <row r="67">
          <cell r="L67">
            <v>19124.446075308784</v>
          </cell>
        </row>
        <row r="68">
          <cell r="L68">
            <v>75216.345613500001</v>
          </cell>
        </row>
      </sheetData>
      <sheetData sheetId="67"/>
      <sheetData sheetId="6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19-2020"/>
      <sheetName val="2012-2013"/>
      <sheetName val="2014-2015"/>
      <sheetName val="2016-2017"/>
      <sheetName val="приложение 1-2024 г"/>
      <sheetName val="приложение 2-2025 г"/>
      <sheetName val="приложение 3-2026 г"/>
      <sheetName val="прил 4 Акколь Зер"/>
      <sheetName val="прил 4 Васильковка Зер"/>
      <sheetName val="прил 4 Викторовка Зер"/>
      <sheetName val="прил 4 Еленовка Зер"/>
      <sheetName val="прил 4 М. Габдул Зер"/>
      <sheetName val="прил 4 ОШ №1 Зер"/>
      <sheetName val="прил 4 ОШ №2 с. Зер"/>
      <sheetName val=" прил 4 Кр Кордон Зер"/>
      <sheetName val="прил 4 Чаглинка Зер"/>
      <sheetName val="прил 4 Шагалалы Зер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6">
          <cell r="I86">
            <v>273</v>
          </cell>
        </row>
        <row r="100">
          <cell r="I100">
            <v>662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U80"/>
  <sheetViews>
    <sheetView tabSelected="1" zoomScale="85" zoomScaleNormal="85" workbookViewId="0">
      <selection activeCell="H91" sqref="H91"/>
    </sheetView>
  </sheetViews>
  <sheetFormatPr defaultRowHeight="15"/>
  <cols>
    <col min="1" max="1" width="4.5703125" customWidth="1"/>
    <col min="2" max="2" width="35.42578125" customWidth="1"/>
    <col min="3" max="3" width="15.7109375" style="95" hidden="1" customWidth="1"/>
    <col min="4" max="4" width="12.7109375" style="95" hidden="1" customWidth="1"/>
    <col min="5" max="5" width="10.5703125" style="95" hidden="1" customWidth="1"/>
    <col min="6" max="6" width="1" style="95" hidden="1" customWidth="1"/>
    <col min="7" max="8" width="13.7109375" style="96" customWidth="1"/>
    <col min="9" max="9" width="13.140625" style="96" customWidth="1"/>
    <col min="10" max="11" width="14.42578125" style="96" customWidth="1"/>
    <col min="12" max="12" width="15.7109375" style="96" customWidth="1"/>
    <col min="13" max="13" width="12.140625" style="99" customWidth="1"/>
    <col min="14" max="15" width="12.28515625" style="98" customWidth="1"/>
    <col min="16" max="16" width="12" style="98" customWidth="1"/>
    <col min="17" max="17" width="0.28515625" style="98" hidden="1" customWidth="1"/>
    <col min="18" max="18" width="10.5703125" style="98" customWidth="1"/>
    <col min="19" max="19" width="10.7109375" style="98" hidden="1" customWidth="1"/>
    <col min="20" max="20" width="17.85546875" style="5" customWidth="1"/>
    <col min="21" max="21" width="9.140625" hidden="1" customWidth="1"/>
  </cols>
  <sheetData>
    <row r="1" spans="1:21" ht="20.25">
      <c r="A1" s="1"/>
      <c r="B1" s="100" t="s">
        <v>0</v>
      </c>
      <c r="C1" s="100"/>
      <c r="D1" s="100"/>
      <c r="E1" s="100"/>
      <c r="F1" s="100"/>
      <c r="G1" s="100"/>
      <c r="H1" s="100"/>
      <c r="I1" s="100"/>
      <c r="J1" s="100"/>
      <c r="K1" s="2"/>
      <c r="L1" s="3"/>
      <c r="M1" s="4"/>
      <c r="N1" s="2"/>
      <c r="O1" s="2"/>
      <c r="P1" s="2"/>
      <c r="Q1" s="2"/>
      <c r="R1" s="2"/>
      <c r="S1" s="2"/>
    </row>
    <row r="2" spans="1:21" hidden="1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6">
        <v>45001</v>
      </c>
      <c r="Q2" s="7"/>
      <c r="R2" s="7"/>
      <c r="S2" s="7"/>
      <c r="T2" t="s">
        <v>84</v>
      </c>
    </row>
    <row r="3" spans="1:21" ht="15.75" hidden="1" customHeight="1">
      <c r="A3" s="8" t="s">
        <v>1</v>
      </c>
      <c r="B3" s="9" t="s">
        <v>0</v>
      </c>
      <c r="C3" s="10"/>
      <c r="D3" s="10"/>
      <c r="E3" s="10"/>
      <c r="F3" s="10"/>
      <c r="G3" s="11" t="s">
        <v>2</v>
      </c>
      <c r="H3" s="102" t="s">
        <v>3</v>
      </c>
      <c r="I3" s="103"/>
      <c r="J3" s="104"/>
      <c r="K3" s="103" t="s">
        <v>4</v>
      </c>
      <c r="L3" s="107" t="s">
        <v>5</v>
      </c>
      <c r="M3" s="108"/>
      <c r="N3" s="108"/>
      <c r="O3" s="108"/>
      <c r="P3" s="109"/>
      <c r="Q3" s="122"/>
      <c r="R3" s="110" t="s">
        <v>6</v>
      </c>
      <c r="S3" s="110"/>
      <c r="T3" s="113" t="s">
        <v>7</v>
      </c>
    </row>
    <row r="4" spans="1:21" ht="2.25" hidden="1" customHeight="1">
      <c r="A4" s="12"/>
      <c r="B4" s="116"/>
      <c r="C4" s="116"/>
      <c r="D4" s="116"/>
      <c r="E4" s="116"/>
      <c r="F4" s="116"/>
      <c r="G4" s="116"/>
      <c r="H4" s="116"/>
      <c r="I4" s="116"/>
      <c r="J4" s="13"/>
      <c r="K4" s="105"/>
      <c r="L4" s="14"/>
      <c r="M4" s="15"/>
      <c r="N4" s="14"/>
      <c r="O4" s="14"/>
      <c r="P4" s="14"/>
      <c r="Q4" s="123"/>
      <c r="R4" s="111"/>
      <c r="S4" s="111"/>
      <c r="T4" s="114"/>
    </row>
    <row r="5" spans="1:21" ht="15" hidden="1" customHeight="1">
      <c r="A5" s="12"/>
      <c r="B5" s="16"/>
      <c r="C5" s="17"/>
      <c r="D5" s="17"/>
      <c r="E5" s="17"/>
      <c r="F5" s="17"/>
      <c r="G5" s="13"/>
      <c r="H5" s="13"/>
      <c r="I5" s="13"/>
      <c r="J5" s="13"/>
      <c r="K5" s="105"/>
      <c r="L5" s="14"/>
      <c r="M5" s="15"/>
      <c r="N5" s="14"/>
      <c r="O5" s="14"/>
      <c r="P5" s="14"/>
      <c r="Q5" s="123"/>
      <c r="R5" s="111"/>
      <c r="S5" s="111"/>
      <c r="T5" s="114"/>
    </row>
    <row r="6" spans="1:21" ht="30" hidden="1" customHeight="1">
      <c r="A6" s="18"/>
      <c r="B6" s="19"/>
      <c r="C6" s="20"/>
      <c r="D6" s="117" t="s">
        <v>8</v>
      </c>
      <c r="E6" s="117"/>
      <c r="F6" s="117"/>
      <c r="G6" s="21" t="s">
        <v>9</v>
      </c>
      <c r="H6" s="118" t="s">
        <v>10</v>
      </c>
      <c r="I6" s="118"/>
      <c r="J6" s="118"/>
      <c r="K6" s="105"/>
      <c r="L6" s="119" t="s">
        <v>11</v>
      </c>
      <c r="M6" s="119"/>
      <c r="N6" s="119"/>
      <c r="O6" s="119"/>
      <c r="P6" s="120" t="s">
        <v>12</v>
      </c>
      <c r="Q6" s="123"/>
      <c r="R6" s="111"/>
      <c r="S6" s="111"/>
      <c r="T6" s="114"/>
    </row>
    <row r="7" spans="1:21" ht="53.25" hidden="1" customHeight="1">
      <c r="A7" s="18"/>
      <c r="B7" s="19"/>
      <c r="C7" s="20">
        <v>111</v>
      </c>
      <c r="D7" s="20">
        <v>121</v>
      </c>
      <c r="E7" s="20">
        <v>122</v>
      </c>
      <c r="F7" s="20">
        <v>124</v>
      </c>
      <c r="G7" s="21" t="s">
        <v>13</v>
      </c>
      <c r="H7" s="21">
        <v>121</v>
      </c>
      <c r="I7" s="21">
        <v>122</v>
      </c>
      <c r="J7" s="21">
        <v>124</v>
      </c>
      <c r="K7" s="106"/>
      <c r="L7" s="21" t="s">
        <v>14</v>
      </c>
      <c r="M7" s="22" t="s">
        <v>15</v>
      </c>
      <c r="N7" s="23" t="s">
        <v>16</v>
      </c>
      <c r="O7" s="23" t="s">
        <v>17</v>
      </c>
      <c r="P7" s="121"/>
      <c r="Q7" s="124"/>
      <c r="R7" s="112"/>
      <c r="S7" s="112"/>
      <c r="T7" s="115"/>
    </row>
    <row r="8" spans="1:21" s="34" customFormat="1" ht="16.5" hidden="1" customHeight="1">
      <c r="A8" s="24">
        <v>1</v>
      </c>
      <c r="B8" s="25" t="s">
        <v>18</v>
      </c>
      <c r="C8" s="26">
        <f>'[1]Свод '!$J$6/1000</f>
        <v>12873.16800737935</v>
      </c>
      <c r="D8" s="27">
        <f>(C8-C8*10%)*6%</f>
        <v>695.15107239848487</v>
      </c>
      <c r="E8" s="27">
        <f>(C8-C8*10%)*3.5%</f>
        <v>405.50479223244957</v>
      </c>
      <c r="F8" s="27">
        <f>C8*2%</f>
        <v>257.46336014758703</v>
      </c>
      <c r="G8" s="28">
        <f>'[2]Свод '!$L$7</f>
        <v>222545.24427150018</v>
      </c>
      <c r="H8" s="28">
        <f>(G8-G8*10%)*6%</f>
        <v>12017.443190661008</v>
      </c>
      <c r="I8" s="28">
        <f>(G8-G8*10%)*3.5%</f>
        <v>7010.1751945522565</v>
      </c>
      <c r="J8" s="28">
        <f>G8*3%</f>
        <v>6676.3573281450053</v>
      </c>
      <c r="K8" s="28">
        <f>G8+H8+I8+J8</f>
        <v>248249.21998485844</v>
      </c>
      <c r="L8" s="28">
        <v>5188</v>
      </c>
      <c r="M8" s="29">
        <f>553.9+13</f>
        <v>566.9</v>
      </c>
      <c r="N8" s="29">
        <f>1120+13</f>
        <v>1133</v>
      </c>
      <c r="O8" s="29">
        <v>480</v>
      </c>
      <c r="P8" s="30"/>
      <c r="Q8" s="31"/>
      <c r="R8" s="32">
        <v>250</v>
      </c>
      <c r="S8" s="32"/>
      <c r="T8" s="33">
        <f>K8+L8+M8+N8+O8+Q8+P8+R8+S8</f>
        <v>255867.11998485844</v>
      </c>
      <c r="U8" s="34" t="s">
        <v>19</v>
      </c>
    </row>
    <row r="9" spans="1:21" s="34" customFormat="1" ht="15.75" hidden="1" customHeight="1">
      <c r="A9" s="35">
        <v>2</v>
      </c>
      <c r="B9" s="36" t="s">
        <v>20</v>
      </c>
      <c r="C9" s="27">
        <f>'[1]Свод '!$J$7/1000</f>
        <v>12013.720855255393</v>
      </c>
      <c r="D9" s="27">
        <f t="shared" ref="D9:D71" si="0">(C9-C9*10%)*6%</f>
        <v>648.7409261837912</v>
      </c>
      <c r="E9" s="27">
        <f t="shared" ref="E9:E71" si="1">(C9-C9*10%)*3.5%</f>
        <v>378.43220694054492</v>
      </c>
      <c r="F9" s="27">
        <f t="shared" ref="F9:F71" si="2">C9*2%</f>
        <v>240.27441710510786</v>
      </c>
      <c r="G9" s="28">
        <f>'[2]Свод '!$L$8</f>
        <v>200669.33216085</v>
      </c>
      <c r="H9" s="28">
        <f t="shared" ref="H9:H69" si="3">(G9-G9*10%)*6%</f>
        <v>10836.143936685898</v>
      </c>
      <c r="I9" s="28">
        <f t="shared" ref="I9:I69" si="4">(G9-G9*10%)*3.5%</f>
        <v>6321.0839630667751</v>
      </c>
      <c r="J9" s="28">
        <f t="shared" ref="J9:J71" si="5">G9*3%</f>
        <v>6020.0799648254997</v>
      </c>
      <c r="K9" s="28">
        <f t="shared" ref="K9:K69" si="6">G9+H9+I9+J9</f>
        <v>223846.64002542818</v>
      </c>
      <c r="L9" s="37">
        <v>6445</v>
      </c>
      <c r="M9" s="38">
        <f>641.8+13</f>
        <v>654.79999999999995</v>
      </c>
      <c r="N9" s="38">
        <f>354.9+128+13</f>
        <v>495.9</v>
      </c>
      <c r="O9" s="29">
        <v>492</v>
      </c>
      <c r="P9" s="30">
        <v>881</v>
      </c>
      <c r="Q9" s="31"/>
      <c r="R9" s="32">
        <v>250</v>
      </c>
      <c r="S9" s="32"/>
      <c r="T9" s="33">
        <f t="shared" ref="T9:T52" si="7">K9+L9+M9+N9+O9+Q9+P9+R9+S9</f>
        <v>233065.34002542816</v>
      </c>
    </row>
    <row r="10" spans="1:21" s="50" customFormat="1" ht="15.75" hidden="1" customHeight="1">
      <c r="A10" s="39">
        <v>3</v>
      </c>
      <c r="B10" s="40" t="s">
        <v>21</v>
      </c>
      <c r="C10" s="41">
        <v>14856.9</v>
      </c>
      <c r="D10" s="41">
        <f t="shared" si="0"/>
        <v>802.2725999999999</v>
      </c>
      <c r="E10" s="41">
        <f t="shared" si="1"/>
        <v>467.99234999999999</v>
      </c>
      <c r="F10" s="41">
        <f t="shared" si="2"/>
        <v>297.13799999999998</v>
      </c>
      <c r="G10" s="42">
        <f>'[2]Свод '!$L$11</f>
        <v>257694.01540517405</v>
      </c>
      <c r="H10" s="42">
        <f t="shared" si="3"/>
        <v>13915.476831879399</v>
      </c>
      <c r="I10" s="42">
        <f t="shared" si="4"/>
        <v>8117.3614852629835</v>
      </c>
      <c r="J10" s="28">
        <f t="shared" si="5"/>
        <v>7730.8204621552213</v>
      </c>
      <c r="K10" s="42">
        <f t="shared" si="6"/>
        <v>287457.67418447166</v>
      </c>
      <c r="L10" s="43">
        <v>7572</v>
      </c>
      <c r="M10" s="44">
        <v>1659</v>
      </c>
      <c r="N10" s="44">
        <f>403+283+13</f>
        <v>699</v>
      </c>
      <c r="O10" s="45">
        <v>60</v>
      </c>
      <c r="P10" s="46">
        <v>880</v>
      </c>
      <c r="Q10" s="47"/>
      <c r="R10" s="48">
        <v>210</v>
      </c>
      <c r="S10" s="48"/>
      <c r="T10" s="49">
        <f t="shared" si="7"/>
        <v>298537.67418447166</v>
      </c>
    </row>
    <row r="11" spans="1:21" s="34" customFormat="1" ht="15.75" hidden="1" customHeight="1">
      <c r="A11" s="51">
        <v>4</v>
      </c>
      <c r="B11" s="52" t="s">
        <v>22</v>
      </c>
      <c r="C11" s="27">
        <f>'[1]Свод '!$J$8/1000</f>
        <v>8629.2712720314339</v>
      </c>
      <c r="D11" s="27">
        <f t="shared" si="0"/>
        <v>465.98064868969738</v>
      </c>
      <c r="E11" s="27">
        <f t="shared" si="1"/>
        <v>271.82204506899018</v>
      </c>
      <c r="F11" s="27">
        <f t="shared" si="2"/>
        <v>172.58542544062868</v>
      </c>
      <c r="G11" s="28">
        <f>'[2]Свод '!$L$9</f>
        <v>140216.36433459798</v>
      </c>
      <c r="H11" s="28">
        <f t="shared" si="3"/>
        <v>7571.6836740682902</v>
      </c>
      <c r="I11" s="28">
        <f t="shared" si="4"/>
        <v>4416.8154765398367</v>
      </c>
      <c r="J11" s="28">
        <f t="shared" si="5"/>
        <v>4206.4909300379395</v>
      </c>
      <c r="K11" s="28">
        <f t="shared" si="6"/>
        <v>156411.35441524404</v>
      </c>
      <c r="L11" s="37">
        <v>2594</v>
      </c>
      <c r="M11" s="38">
        <f>636.1+13</f>
        <v>649.1</v>
      </c>
      <c r="N11" s="38">
        <f>155+13</f>
        <v>168</v>
      </c>
      <c r="O11" s="29">
        <v>480</v>
      </c>
      <c r="P11" s="30">
        <v>500</v>
      </c>
      <c r="Q11" s="31"/>
      <c r="R11" s="32">
        <v>200</v>
      </c>
      <c r="S11" s="32"/>
      <c r="T11" s="33">
        <f t="shared" si="7"/>
        <v>161002.45441524405</v>
      </c>
    </row>
    <row r="12" spans="1:21" s="34" customFormat="1" ht="15.75" hidden="1" customHeight="1">
      <c r="A12" s="51">
        <v>5</v>
      </c>
      <c r="B12" s="52" t="s">
        <v>23</v>
      </c>
      <c r="C12" s="27">
        <f>'[1]Свод '!$J$9/1000</f>
        <v>7625.1002980835156</v>
      </c>
      <c r="D12" s="27">
        <f t="shared" si="0"/>
        <v>411.7554160965098</v>
      </c>
      <c r="E12" s="27">
        <f t="shared" si="1"/>
        <v>240.19065938963075</v>
      </c>
      <c r="F12" s="27">
        <f t="shared" si="2"/>
        <v>152.50200596167031</v>
      </c>
      <c r="G12" s="28">
        <f>'[2]Свод '!$L$10</f>
        <v>141466.73128144519</v>
      </c>
      <c r="H12" s="28">
        <f t="shared" si="3"/>
        <v>7639.2034891980393</v>
      </c>
      <c r="I12" s="28">
        <f t="shared" si="4"/>
        <v>4456.2020353655234</v>
      </c>
      <c r="J12" s="28">
        <f t="shared" si="5"/>
        <v>4244.0019384433554</v>
      </c>
      <c r="K12" s="28">
        <f t="shared" si="6"/>
        <v>157806.1387444521</v>
      </c>
      <c r="L12" s="37">
        <v>6964</v>
      </c>
      <c r="M12" s="38">
        <f>975.7+13</f>
        <v>988.7</v>
      </c>
      <c r="N12" s="38">
        <v>1120</v>
      </c>
      <c r="O12" s="29">
        <f>384+161</f>
        <v>545</v>
      </c>
      <c r="P12" s="30"/>
      <c r="Q12" s="31"/>
      <c r="R12" s="32">
        <v>250</v>
      </c>
      <c r="S12" s="32"/>
      <c r="T12" s="33">
        <f t="shared" si="7"/>
        <v>167673.83874445211</v>
      </c>
    </row>
    <row r="13" spans="1:21" s="34" customFormat="1" ht="15.75" hidden="1" customHeight="1">
      <c r="A13" s="51">
        <v>6</v>
      </c>
      <c r="B13" s="52" t="s">
        <v>24</v>
      </c>
      <c r="C13" s="27">
        <f>'[1]Свод '!$J$11/1000</f>
        <v>9385.1176688126852</v>
      </c>
      <c r="D13" s="27">
        <f>(C13-C13*10%)*6%</f>
        <v>506.79635411588492</v>
      </c>
      <c r="E13" s="27">
        <f t="shared" si="1"/>
        <v>295.63120656759958</v>
      </c>
      <c r="F13" s="27">
        <f t="shared" si="2"/>
        <v>187.70235337625371</v>
      </c>
      <c r="G13" s="28">
        <f>'[2]Свод '!$L$12</f>
        <v>161743.57950947297</v>
      </c>
      <c r="H13" s="28">
        <f t="shared" si="3"/>
        <v>8734.1532935115392</v>
      </c>
      <c r="I13" s="28">
        <f t="shared" si="4"/>
        <v>5094.9227545483991</v>
      </c>
      <c r="J13" s="28">
        <f t="shared" si="5"/>
        <v>4852.307385284189</v>
      </c>
      <c r="K13" s="28">
        <f t="shared" si="6"/>
        <v>180424.9629428171</v>
      </c>
      <c r="L13" s="37">
        <v>3852</v>
      </c>
      <c r="M13" s="38">
        <f>718.9+13</f>
        <v>731.9</v>
      </c>
      <c r="N13" s="38">
        <v>568.20000000000005</v>
      </c>
      <c r="O13" s="29">
        <v>60</v>
      </c>
      <c r="P13" s="30"/>
      <c r="Q13" s="31"/>
      <c r="R13" s="32">
        <v>250</v>
      </c>
      <c r="S13" s="32"/>
      <c r="T13" s="33">
        <f t="shared" si="7"/>
        <v>185887.06294281711</v>
      </c>
    </row>
    <row r="14" spans="1:21" s="34" customFormat="1" ht="15.75" hidden="1" customHeight="1">
      <c r="A14" s="51">
        <v>7</v>
      </c>
      <c r="B14" s="52" t="s">
        <v>25</v>
      </c>
      <c r="C14" s="27">
        <f>'[1]Свод '!$J$12/1000</f>
        <v>7425.1813609999999</v>
      </c>
      <c r="D14" s="27">
        <f t="shared" si="0"/>
        <v>400.95979349399994</v>
      </c>
      <c r="E14" s="27">
        <f t="shared" si="1"/>
        <v>233.8932128715</v>
      </c>
      <c r="F14" s="27">
        <f t="shared" si="2"/>
        <v>148.50362722</v>
      </c>
      <c r="G14" s="28">
        <f>'[2]Свод '!$L$13</f>
        <v>129626.05182792019</v>
      </c>
      <c r="H14" s="28">
        <f t="shared" si="3"/>
        <v>6999.8067987076902</v>
      </c>
      <c r="I14" s="28">
        <f t="shared" si="4"/>
        <v>4083.2206325794864</v>
      </c>
      <c r="J14" s="28">
        <f t="shared" si="5"/>
        <v>3888.7815548376057</v>
      </c>
      <c r="K14" s="28">
        <f t="shared" si="6"/>
        <v>144597.86081404498</v>
      </c>
      <c r="L14" s="37">
        <v>7410</v>
      </c>
      <c r="M14" s="38">
        <f>507.1+13</f>
        <v>520.1</v>
      </c>
      <c r="N14" s="38">
        <v>211.9</v>
      </c>
      <c r="O14" s="29">
        <v>72</v>
      </c>
      <c r="P14" s="30">
        <v>79.5</v>
      </c>
      <c r="Q14" s="31"/>
      <c r="R14" s="32">
        <v>250</v>
      </c>
      <c r="S14" s="32"/>
      <c r="T14" s="33">
        <f t="shared" si="7"/>
        <v>153141.36081404498</v>
      </c>
    </row>
    <row r="15" spans="1:21" s="50" customFormat="1" ht="15.75" hidden="1" customHeight="1">
      <c r="A15" s="39">
        <v>8</v>
      </c>
      <c r="B15" s="40" t="s">
        <v>26</v>
      </c>
      <c r="C15" s="41">
        <f>'[1]Свод '!$J$13/1000</f>
        <v>13746.1794028856</v>
      </c>
      <c r="D15" s="41">
        <f t="shared" si="0"/>
        <v>742.29368775582248</v>
      </c>
      <c r="E15" s="41">
        <f t="shared" si="1"/>
        <v>433.00465119089648</v>
      </c>
      <c r="F15" s="41">
        <f t="shared" si="2"/>
        <v>274.92358805771204</v>
      </c>
      <c r="G15" s="42">
        <f>'[2]Свод '!$L$15</f>
        <v>228593.61238337349</v>
      </c>
      <c r="H15" s="42">
        <f t="shared" si="3"/>
        <v>12344.055068702168</v>
      </c>
      <c r="I15" s="42">
        <f t="shared" si="4"/>
        <v>7200.6987900762651</v>
      </c>
      <c r="J15" s="28">
        <f t="shared" si="5"/>
        <v>6857.8083715012044</v>
      </c>
      <c r="K15" s="42">
        <f t="shared" si="6"/>
        <v>254996.17461365316</v>
      </c>
      <c r="L15" s="43">
        <v>6700</v>
      </c>
      <c r="M15" s="44">
        <f>1555.3+13</f>
        <v>1568.3</v>
      </c>
      <c r="N15" s="44">
        <f>209+236+13</f>
        <v>458</v>
      </c>
      <c r="O15" s="45">
        <v>72</v>
      </c>
      <c r="P15" s="46">
        <v>2250</v>
      </c>
      <c r="Q15" s="47"/>
      <c r="R15" s="32">
        <v>250</v>
      </c>
      <c r="S15" s="48"/>
      <c r="T15" s="49">
        <f t="shared" si="7"/>
        <v>266294.47461365315</v>
      </c>
    </row>
    <row r="16" spans="1:21" s="34" customFormat="1" ht="15.75" hidden="1" customHeight="1">
      <c r="A16" s="51">
        <v>9</v>
      </c>
      <c r="B16" s="52" t="s">
        <v>27</v>
      </c>
      <c r="C16" s="27">
        <f>'[1]Свод '!$J$15/1000</f>
        <v>7837.6380911145825</v>
      </c>
      <c r="D16" s="27">
        <f t="shared" si="0"/>
        <v>423.23245692018742</v>
      </c>
      <c r="E16" s="27">
        <f t="shared" si="1"/>
        <v>246.88559987010936</v>
      </c>
      <c r="F16" s="27">
        <f t="shared" si="2"/>
        <v>156.75276182229166</v>
      </c>
      <c r="G16" s="28">
        <f>'[2]Свод '!$L$17</f>
        <v>141459.21816581156</v>
      </c>
      <c r="H16" s="28">
        <f t="shared" si="3"/>
        <v>7638.7977809538233</v>
      </c>
      <c r="I16" s="28">
        <f t="shared" si="4"/>
        <v>4455.9653722230642</v>
      </c>
      <c r="J16" s="28">
        <f t="shared" si="5"/>
        <v>4243.7765449743465</v>
      </c>
      <c r="K16" s="28">
        <f t="shared" si="6"/>
        <v>157797.75786396279</v>
      </c>
      <c r="L16" s="37">
        <v>6964</v>
      </c>
      <c r="M16" s="38">
        <f>713.1+13</f>
        <v>726.1</v>
      </c>
      <c r="N16" s="38">
        <v>432</v>
      </c>
      <c r="O16" s="29"/>
      <c r="P16" s="30">
        <v>1325.3</v>
      </c>
      <c r="Q16" s="31"/>
      <c r="R16" s="32">
        <v>250</v>
      </c>
      <c r="S16" s="32"/>
      <c r="T16" s="33">
        <f t="shared" si="7"/>
        <v>167495.15786396278</v>
      </c>
    </row>
    <row r="17" spans="1:20" s="50" customFormat="1" ht="15.75" hidden="1" customHeight="1">
      <c r="A17" s="39">
        <v>10</v>
      </c>
      <c r="B17" s="40" t="s">
        <v>28</v>
      </c>
      <c r="C17" s="41">
        <v>15765</v>
      </c>
      <c r="D17" s="41">
        <f t="shared" si="0"/>
        <v>851.31</v>
      </c>
      <c r="E17" s="41">
        <f t="shared" si="1"/>
        <v>496.59750000000003</v>
      </c>
      <c r="F17" s="41">
        <f t="shared" si="2"/>
        <v>315.3</v>
      </c>
      <c r="G17" s="42">
        <f>'[2]Свод '!$L$16</f>
        <v>256933.06384470104</v>
      </c>
      <c r="H17" s="42">
        <f t="shared" si="3"/>
        <v>13874.385447613855</v>
      </c>
      <c r="I17" s="42">
        <f t="shared" si="4"/>
        <v>8093.3915111080833</v>
      </c>
      <c r="J17" s="28">
        <f t="shared" si="5"/>
        <v>7707.991915341031</v>
      </c>
      <c r="K17" s="42">
        <f t="shared" si="6"/>
        <v>286608.83271876402</v>
      </c>
      <c r="L17" s="43">
        <v>5146</v>
      </c>
      <c r="M17" s="44">
        <f>1154+13</f>
        <v>1167</v>
      </c>
      <c r="N17" s="44">
        <v>398</v>
      </c>
      <c r="O17" s="45">
        <v>264</v>
      </c>
      <c r="P17" s="46">
        <v>1146</v>
      </c>
      <c r="Q17" s="47"/>
      <c r="R17" s="32">
        <v>250</v>
      </c>
      <c r="S17" s="48"/>
      <c r="T17" s="49">
        <f t="shared" si="7"/>
        <v>294979.83271876402</v>
      </c>
    </row>
    <row r="18" spans="1:20" s="50" customFormat="1" ht="15.75" hidden="1" customHeight="1">
      <c r="A18" s="39">
        <v>11</v>
      </c>
      <c r="B18" s="40" t="s">
        <v>29</v>
      </c>
      <c r="C18" s="41">
        <v>29225.200000000001</v>
      </c>
      <c r="D18" s="41">
        <f t="shared" si="0"/>
        <v>1578.1607999999999</v>
      </c>
      <c r="E18" s="41">
        <f t="shared" si="1"/>
        <v>920.5938000000001</v>
      </c>
      <c r="F18" s="41">
        <f t="shared" si="2"/>
        <v>584.50400000000002</v>
      </c>
      <c r="G18" s="42">
        <f>'[2]Свод '!$L$18</f>
        <v>442409.23917389999</v>
      </c>
      <c r="H18" s="42">
        <f t="shared" si="3"/>
        <v>23890.098915390598</v>
      </c>
      <c r="I18" s="42">
        <f t="shared" si="4"/>
        <v>13935.89103397785</v>
      </c>
      <c r="J18" s="28">
        <f t="shared" si="5"/>
        <v>13272.277175216999</v>
      </c>
      <c r="K18" s="42">
        <f t="shared" si="6"/>
        <v>493507.50629848544</v>
      </c>
      <c r="L18" s="53">
        <v>9600</v>
      </c>
      <c r="M18" s="44">
        <f>1519+13</f>
        <v>1532</v>
      </c>
      <c r="N18" s="44">
        <v>2977</v>
      </c>
      <c r="O18" s="45">
        <v>669</v>
      </c>
      <c r="P18" s="46"/>
      <c r="Q18" s="47"/>
      <c r="R18" s="32">
        <v>250</v>
      </c>
      <c r="S18" s="48"/>
      <c r="T18" s="49">
        <f t="shared" si="7"/>
        <v>508535.50629848544</v>
      </c>
    </row>
    <row r="19" spans="1:20" s="50" customFormat="1" ht="15.75" hidden="1" customHeight="1">
      <c r="A19" s="39">
        <v>12</v>
      </c>
      <c r="B19" s="40" t="s">
        <v>30</v>
      </c>
      <c r="C19" s="41">
        <f>'[1]Свод '!$J$17/1000</f>
        <v>15896.303081448099</v>
      </c>
      <c r="D19" s="41">
        <f t="shared" si="0"/>
        <v>858.40036639819732</v>
      </c>
      <c r="E19" s="41">
        <f t="shared" si="1"/>
        <v>500.7335470656152</v>
      </c>
      <c r="F19" s="41">
        <f t="shared" si="2"/>
        <v>317.92606162896197</v>
      </c>
      <c r="G19" s="42">
        <f>'[2]Свод '!$L$19</f>
        <v>263782.10526794998</v>
      </c>
      <c r="H19" s="42">
        <f t="shared" si="3"/>
        <v>14244.233684469298</v>
      </c>
      <c r="I19" s="42">
        <f t="shared" si="4"/>
        <v>8309.1363159404245</v>
      </c>
      <c r="J19" s="28">
        <f t="shared" si="5"/>
        <v>7913.4631580384994</v>
      </c>
      <c r="K19" s="42">
        <f>G19+H19+I19+J19</f>
        <v>294248.93842639821</v>
      </c>
      <c r="L19" s="53">
        <v>11900</v>
      </c>
      <c r="M19" s="44">
        <f>2510+13</f>
        <v>2523</v>
      </c>
      <c r="N19" s="44">
        <v>3733</v>
      </c>
      <c r="O19" s="45">
        <v>756</v>
      </c>
      <c r="P19" s="46"/>
      <c r="Q19" s="47"/>
      <c r="R19" s="32">
        <v>250</v>
      </c>
      <c r="S19" s="48"/>
      <c r="T19" s="49">
        <f t="shared" si="7"/>
        <v>313410.93842639821</v>
      </c>
    </row>
    <row r="20" spans="1:20" s="50" customFormat="1" ht="15.75" hidden="1" customHeight="1">
      <c r="A20" s="39">
        <v>13</v>
      </c>
      <c r="B20" s="40" t="s">
        <v>31</v>
      </c>
      <c r="C20" s="41">
        <v>11082.2</v>
      </c>
      <c r="D20" s="41">
        <f t="shared" si="0"/>
        <v>598.43880000000001</v>
      </c>
      <c r="E20" s="41">
        <f t="shared" si="1"/>
        <v>349.08930000000009</v>
      </c>
      <c r="F20" s="41">
        <f t="shared" si="2"/>
        <v>221.64400000000001</v>
      </c>
      <c r="G20" s="42">
        <f>'[2]Свод '!$L$20</f>
        <v>240862.00331654996</v>
      </c>
      <c r="H20" s="42">
        <f t="shared" si="3"/>
        <v>13006.548179093697</v>
      </c>
      <c r="I20" s="42">
        <f t="shared" si="4"/>
        <v>7587.1531044713238</v>
      </c>
      <c r="J20" s="28">
        <f t="shared" si="5"/>
        <v>7225.8600994964991</v>
      </c>
      <c r="K20" s="42">
        <f t="shared" si="6"/>
        <v>268681.56469961151</v>
      </c>
      <c r="L20" s="53">
        <v>18100</v>
      </c>
      <c r="M20" s="44">
        <f>1542.9+26</f>
        <v>1568.9</v>
      </c>
      <c r="N20" s="44">
        <v>2977</v>
      </c>
      <c r="O20" s="45">
        <f>480+161</f>
        <v>641</v>
      </c>
      <c r="P20" s="46">
        <v>3276</v>
      </c>
      <c r="Q20" s="47"/>
      <c r="R20" s="32">
        <v>250</v>
      </c>
      <c r="S20" s="48"/>
      <c r="T20" s="49">
        <f t="shared" si="7"/>
        <v>295494.46469961153</v>
      </c>
    </row>
    <row r="21" spans="1:20" s="34" customFormat="1" ht="16.5" customHeight="1">
      <c r="A21" s="51">
        <v>14</v>
      </c>
      <c r="B21" s="52" t="s">
        <v>32</v>
      </c>
      <c r="C21" s="54">
        <f>'[1]Свод '!$J$20/1000</f>
        <v>5306.275801244974</v>
      </c>
      <c r="D21" s="54">
        <f t="shared" si="0"/>
        <v>286.53889326722856</v>
      </c>
      <c r="E21" s="54">
        <f t="shared" si="1"/>
        <v>167.14768773921671</v>
      </c>
      <c r="F21" s="54">
        <f t="shared" si="2"/>
        <v>106.12551602489948</v>
      </c>
      <c r="G21" s="28">
        <f>'[2]Свод '!$L$22</f>
        <v>103040.4007042952</v>
      </c>
      <c r="H21" s="55">
        <f t="shared" si="3"/>
        <v>5564.1816380319406</v>
      </c>
      <c r="I21" s="55">
        <f t="shared" si="4"/>
        <v>3245.772622185299</v>
      </c>
      <c r="J21" s="28">
        <f t="shared" si="5"/>
        <v>3091.2120211288557</v>
      </c>
      <c r="K21" s="28">
        <f t="shared" si="6"/>
        <v>114941.56698564129</v>
      </c>
      <c r="L21" s="33">
        <v>6964</v>
      </c>
      <c r="M21" s="56">
        <f>658+13</f>
        <v>671</v>
      </c>
      <c r="N21" s="56">
        <v>155</v>
      </c>
      <c r="O21" s="57">
        <v>83</v>
      </c>
      <c r="P21" s="30"/>
      <c r="Q21" s="31"/>
      <c r="R21" s="32">
        <v>250</v>
      </c>
      <c r="S21" s="32"/>
      <c r="T21" s="33">
        <f t="shared" si="7"/>
        <v>123064.56698564129</v>
      </c>
    </row>
    <row r="22" spans="1:20" s="34" customFormat="1" ht="15.75" hidden="1" customHeight="1">
      <c r="A22" s="51">
        <v>15</v>
      </c>
      <c r="B22" s="52" t="s">
        <v>33</v>
      </c>
      <c r="C22" s="27">
        <f>'[1]Свод '!$J$19/1000</f>
        <v>7732.1278151980987</v>
      </c>
      <c r="D22" s="27">
        <f t="shared" si="0"/>
        <v>417.5349020206973</v>
      </c>
      <c r="E22" s="27">
        <f t="shared" si="1"/>
        <v>243.56202617874013</v>
      </c>
      <c r="F22" s="27">
        <f t="shared" si="2"/>
        <v>154.64255630396198</v>
      </c>
      <c r="G22" s="28">
        <f>'[2]Свод '!$L$21</f>
        <v>135089.484413873</v>
      </c>
      <c r="H22" s="28">
        <f t="shared" si="3"/>
        <v>7294.8321583491415</v>
      </c>
      <c r="I22" s="28">
        <f t="shared" si="4"/>
        <v>4255.3187590369998</v>
      </c>
      <c r="J22" s="28">
        <f t="shared" si="5"/>
        <v>4052.6845324161895</v>
      </c>
      <c r="K22" s="28">
        <f t="shared" si="6"/>
        <v>150692.31986367534</v>
      </c>
      <c r="L22" s="37">
        <v>6667</v>
      </c>
      <c r="M22" s="38">
        <f>730+13</f>
        <v>743</v>
      </c>
      <c r="N22" s="38">
        <f>403.2+403.2</f>
        <v>806.4</v>
      </c>
      <c r="O22" s="57">
        <v>83</v>
      </c>
      <c r="P22" s="30">
        <v>160</v>
      </c>
      <c r="Q22" s="31"/>
      <c r="R22" s="32">
        <v>250</v>
      </c>
      <c r="S22" s="32"/>
      <c r="T22" s="33">
        <f t="shared" si="7"/>
        <v>159401.71986367533</v>
      </c>
    </row>
    <row r="23" spans="1:20" s="34" customFormat="1" ht="15.75" hidden="1" customHeight="1">
      <c r="A23" s="51">
        <v>16</v>
      </c>
      <c r="B23" s="52" t="s">
        <v>34</v>
      </c>
      <c r="C23" s="27">
        <f>'[1]Свод '!$J$23/1000</f>
        <v>14444.194371994976</v>
      </c>
      <c r="D23" s="27">
        <f t="shared" si="0"/>
        <v>779.9864960877286</v>
      </c>
      <c r="E23" s="27">
        <f t="shared" si="1"/>
        <v>454.99212271784177</v>
      </c>
      <c r="F23" s="27">
        <f t="shared" si="2"/>
        <v>288.88388743989952</v>
      </c>
      <c r="G23" s="28">
        <f>'[2]Свод '!$L$25</f>
        <v>244782.84277412301</v>
      </c>
      <c r="H23" s="28">
        <f t="shared" si="3"/>
        <v>13218.273509802641</v>
      </c>
      <c r="I23" s="28">
        <f t="shared" si="4"/>
        <v>7710.6595473848756</v>
      </c>
      <c r="J23" s="28">
        <f t="shared" si="5"/>
        <v>7343.4852832236902</v>
      </c>
      <c r="K23" s="28">
        <f t="shared" si="6"/>
        <v>273055.26111453422</v>
      </c>
      <c r="L23" s="37">
        <v>2594</v>
      </c>
      <c r="M23" s="38">
        <f>807.2+13</f>
        <v>820.2</v>
      </c>
      <c r="N23" s="38">
        <f>600+13+283</f>
        <v>896</v>
      </c>
      <c r="O23" s="57"/>
      <c r="P23" s="30">
        <v>500</v>
      </c>
      <c r="Q23" s="31"/>
      <c r="R23" s="32">
        <v>250</v>
      </c>
      <c r="S23" s="32"/>
      <c r="T23" s="33">
        <f t="shared" si="7"/>
        <v>278115.46111453424</v>
      </c>
    </row>
    <row r="24" spans="1:20" s="34" customFormat="1" ht="15.75" hidden="1" customHeight="1">
      <c r="A24" s="51">
        <v>17</v>
      </c>
      <c r="B24" s="52" t="s">
        <v>35</v>
      </c>
      <c r="C24" s="27">
        <f>'[1]Свод '!$J$21/1000</f>
        <v>7141.3797636512872</v>
      </c>
      <c r="D24" s="27">
        <f t="shared" si="0"/>
        <v>385.63450723716949</v>
      </c>
      <c r="E24" s="27">
        <f t="shared" si="1"/>
        <v>224.95346255501559</v>
      </c>
      <c r="F24" s="27">
        <f t="shared" si="2"/>
        <v>142.82759527302574</v>
      </c>
      <c r="G24" s="28">
        <f>'[2]Свод '!$L$23</f>
        <v>107294.28489870527</v>
      </c>
      <c r="H24" s="28">
        <f t="shared" si="3"/>
        <v>5793.8913845300849</v>
      </c>
      <c r="I24" s="28">
        <f t="shared" si="4"/>
        <v>3379.7699743092166</v>
      </c>
      <c r="J24" s="28">
        <f t="shared" si="5"/>
        <v>3218.8285469611578</v>
      </c>
      <c r="K24" s="28">
        <f t="shared" si="6"/>
        <v>119686.77480450574</v>
      </c>
      <c r="L24" s="37">
        <v>5186</v>
      </c>
      <c r="M24" s="38">
        <f>842+13</f>
        <v>855</v>
      </c>
      <c r="N24" s="38">
        <f>403.2+13+403.2</f>
        <v>819.4</v>
      </c>
      <c r="O24" s="57"/>
      <c r="P24" s="30"/>
      <c r="Q24" s="31"/>
      <c r="R24" s="32">
        <v>250</v>
      </c>
      <c r="S24" s="32"/>
      <c r="T24" s="33">
        <f t="shared" si="7"/>
        <v>126797.17480450573</v>
      </c>
    </row>
    <row r="25" spans="1:20" s="34" customFormat="1" ht="15.75" hidden="1" customHeight="1">
      <c r="A25" s="51">
        <v>18</v>
      </c>
      <c r="B25" s="52" t="s">
        <v>36</v>
      </c>
      <c r="C25" s="27">
        <f>'[1]Свод '!$J$22/1000</f>
        <v>6462.7369432606001</v>
      </c>
      <c r="D25" s="27">
        <f t="shared" si="0"/>
        <v>348.98779493607242</v>
      </c>
      <c r="E25" s="27">
        <f t="shared" si="1"/>
        <v>203.57621371270892</v>
      </c>
      <c r="F25" s="27">
        <f t="shared" si="2"/>
        <v>129.254738865212</v>
      </c>
      <c r="G25" s="28">
        <f>'[2]Свод '!$L$24</f>
        <v>122701.08837919518</v>
      </c>
      <c r="H25" s="28">
        <f t="shared" si="3"/>
        <v>6625.8587724765393</v>
      </c>
      <c r="I25" s="28">
        <f t="shared" si="4"/>
        <v>3865.0842839446486</v>
      </c>
      <c r="J25" s="28">
        <f t="shared" si="5"/>
        <v>3681.032651375855</v>
      </c>
      <c r="K25" s="28">
        <f t="shared" si="6"/>
        <v>136873.06408699224</v>
      </c>
      <c r="L25" s="37">
        <v>5186</v>
      </c>
      <c r="M25" s="38">
        <f>499.9+13</f>
        <v>512.9</v>
      </c>
      <c r="N25" s="38">
        <v>155</v>
      </c>
      <c r="O25" s="57"/>
      <c r="P25" s="30"/>
      <c r="Q25" s="31"/>
      <c r="R25" s="32">
        <v>250</v>
      </c>
      <c r="S25" s="32"/>
      <c r="T25" s="33">
        <f t="shared" si="7"/>
        <v>142976.96408699223</v>
      </c>
    </row>
    <row r="26" spans="1:20" s="34" customFormat="1" ht="15.75" hidden="1" customHeight="1">
      <c r="A26" s="51">
        <v>19</v>
      </c>
      <c r="B26" s="52" t="s">
        <v>37</v>
      </c>
      <c r="C26" s="27">
        <f>'[1]Свод '!$J$24/1000</f>
        <v>9823.1824827918481</v>
      </c>
      <c r="D26" s="27">
        <f t="shared" si="0"/>
        <v>530.45185407075974</v>
      </c>
      <c r="E26" s="27">
        <f t="shared" si="1"/>
        <v>309.43024820794324</v>
      </c>
      <c r="F26" s="27">
        <f t="shared" si="2"/>
        <v>196.46364965583697</v>
      </c>
      <c r="G26" s="28">
        <f>'[2]Свод '!$L$26</f>
        <v>158744.82258206297</v>
      </c>
      <c r="H26" s="28">
        <f t="shared" si="3"/>
        <v>8572.2204194313999</v>
      </c>
      <c r="I26" s="28">
        <f t="shared" si="4"/>
        <v>5000.4619113349845</v>
      </c>
      <c r="J26" s="28">
        <f t="shared" si="5"/>
        <v>4762.3446774618888</v>
      </c>
      <c r="K26" s="28">
        <f t="shared" si="6"/>
        <v>177079.84959029124</v>
      </c>
      <c r="L26" s="37">
        <v>5186</v>
      </c>
      <c r="M26" s="38">
        <f>603.1+13</f>
        <v>616.1</v>
      </c>
      <c r="N26" s="38">
        <f>403.2+13</f>
        <v>416.2</v>
      </c>
      <c r="O26" s="57">
        <v>83</v>
      </c>
      <c r="P26" s="30"/>
      <c r="Q26" s="31"/>
      <c r="R26" s="32">
        <v>250</v>
      </c>
      <c r="S26" s="32"/>
      <c r="T26" s="33">
        <f t="shared" si="7"/>
        <v>183631.14959029126</v>
      </c>
    </row>
    <row r="27" spans="1:20" s="34" customFormat="1" ht="15.75" hidden="1" customHeight="1">
      <c r="A27" s="51">
        <v>20</v>
      </c>
      <c r="B27" s="52" t="s">
        <v>38</v>
      </c>
      <c r="C27" s="27">
        <f>'[1]Свод '!$J$26/1000</f>
        <v>4381.3013616408089</v>
      </c>
      <c r="D27" s="27">
        <f t="shared" si="0"/>
        <v>236.59027352860369</v>
      </c>
      <c r="E27" s="27">
        <f t="shared" si="1"/>
        <v>138.0109928916855</v>
      </c>
      <c r="F27" s="27">
        <f t="shared" si="2"/>
        <v>87.626027232816185</v>
      </c>
      <c r="G27" s="28">
        <f>'[2]Свод '!$L$28</f>
        <v>69010.19392164798</v>
      </c>
      <c r="H27" s="28">
        <f t="shared" si="3"/>
        <v>3726.5504717689905</v>
      </c>
      <c r="I27" s="28">
        <f t="shared" si="4"/>
        <v>2173.8211085319112</v>
      </c>
      <c r="J27" s="28">
        <f t="shared" si="5"/>
        <v>2070.3058176494392</v>
      </c>
      <c r="K27" s="28">
        <f t="shared" si="6"/>
        <v>76980.871319598315</v>
      </c>
      <c r="L27" s="37">
        <v>5186</v>
      </c>
      <c r="M27" s="38">
        <f>707.3+13</f>
        <v>720.3</v>
      </c>
      <c r="N27" s="38">
        <f>359.88+13</f>
        <v>372.88</v>
      </c>
      <c r="O27" s="57">
        <v>83</v>
      </c>
      <c r="P27" s="30"/>
      <c r="Q27" s="31"/>
      <c r="R27" s="32">
        <v>210</v>
      </c>
      <c r="S27" s="32"/>
      <c r="T27" s="33">
        <f t="shared" si="7"/>
        <v>83553.051319598322</v>
      </c>
    </row>
    <row r="28" spans="1:20" s="34" customFormat="1" ht="15.75" hidden="1" customHeight="1">
      <c r="A28" s="51">
        <v>21</v>
      </c>
      <c r="B28" s="52" t="s">
        <v>39</v>
      </c>
      <c r="C28" s="27">
        <f>'[1]Свод '!$J$25/1000</f>
        <v>6848.2695907918487</v>
      </c>
      <c r="D28" s="27">
        <f t="shared" si="0"/>
        <v>369.80655790275978</v>
      </c>
      <c r="E28" s="27">
        <f t="shared" si="1"/>
        <v>215.72049210994325</v>
      </c>
      <c r="F28" s="27">
        <f t="shared" si="2"/>
        <v>136.96539181583697</v>
      </c>
      <c r="G28" s="28">
        <f>'[2]Свод '!$L$27</f>
        <v>124884.16688087296</v>
      </c>
      <c r="H28" s="28">
        <f t="shared" si="3"/>
        <v>6743.74501156714</v>
      </c>
      <c r="I28" s="28">
        <f t="shared" si="4"/>
        <v>3933.8512567474986</v>
      </c>
      <c r="J28" s="28">
        <f t="shared" si="5"/>
        <v>3746.5250064261886</v>
      </c>
      <c r="K28" s="28">
        <f t="shared" si="6"/>
        <v>139308.28815561379</v>
      </c>
      <c r="L28" s="37">
        <v>5186</v>
      </c>
      <c r="M28" s="38">
        <f>289+13</f>
        <v>302</v>
      </c>
      <c r="N28" s="38">
        <f>133+13</f>
        <v>146</v>
      </c>
      <c r="O28" s="57">
        <v>83</v>
      </c>
      <c r="P28" s="30"/>
      <c r="Q28" s="31"/>
      <c r="R28" s="32">
        <v>250</v>
      </c>
      <c r="S28" s="32"/>
      <c r="T28" s="33">
        <f t="shared" si="7"/>
        <v>145275.28815561379</v>
      </c>
    </row>
    <row r="29" spans="1:20" s="34" customFormat="1" ht="15.75" hidden="1" customHeight="1">
      <c r="A29" s="51">
        <v>22</v>
      </c>
      <c r="B29" s="52" t="s">
        <v>40</v>
      </c>
      <c r="C29" s="27">
        <f>'[1]Свод '!$J$31/1000</f>
        <v>7591.4033973699752</v>
      </c>
      <c r="D29" s="27">
        <f t="shared" si="0"/>
        <v>409.93578345797863</v>
      </c>
      <c r="E29" s="27">
        <f t="shared" si="1"/>
        <v>239.12920701715424</v>
      </c>
      <c r="F29" s="27">
        <f t="shared" si="2"/>
        <v>151.82806794739952</v>
      </c>
      <c r="G29" s="28">
        <f>'[2]Свод '!$L$33</f>
        <v>138290.50693998553</v>
      </c>
      <c r="H29" s="28">
        <f t="shared" si="3"/>
        <v>7467.6873747592181</v>
      </c>
      <c r="I29" s="28">
        <f t="shared" si="4"/>
        <v>4356.1509686095442</v>
      </c>
      <c r="J29" s="28">
        <f t="shared" si="5"/>
        <v>4148.7152081995655</v>
      </c>
      <c r="K29" s="28">
        <f t="shared" si="6"/>
        <v>154263.06049155386</v>
      </c>
      <c r="L29" s="37">
        <v>2593</v>
      </c>
      <c r="M29" s="38">
        <f>629.3+13</f>
        <v>642.29999999999995</v>
      </c>
      <c r="N29" s="38">
        <f>1079.88+599.88+13</f>
        <v>1692.7600000000002</v>
      </c>
      <c r="O29" s="57"/>
      <c r="P29" s="30">
        <v>400</v>
      </c>
      <c r="Q29" s="31"/>
      <c r="R29" s="32">
        <v>250</v>
      </c>
      <c r="S29" s="32"/>
      <c r="T29" s="33">
        <f t="shared" si="7"/>
        <v>159841.12049155385</v>
      </c>
    </row>
    <row r="30" spans="1:20" s="34" customFormat="1" ht="15.75" hidden="1" customHeight="1">
      <c r="A30" s="51">
        <v>23</v>
      </c>
      <c r="B30" s="52" t="s">
        <v>41</v>
      </c>
      <c r="C30" s="27">
        <f>'[1]Свод '!$J$27/1000</f>
        <v>8205.6325673637239</v>
      </c>
      <c r="D30" s="27">
        <f t="shared" si="0"/>
        <v>443.10415863764104</v>
      </c>
      <c r="E30" s="27">
        <f t="shared" si="1"/>
        <v>258.47742587195734</v>
      </c>
      <c r="F30" s="27">
        <f t="shared" si="2"/>
        <v>164.11265134727449</v>
      </c>
      <c r="G30" s="28">
        <f>'[2]Свод '!$L$29</f>
        <v>127682.84790177798</v>
      </c>
      <c r="H30" s="28">
        <f t="shared" si="3"/>
        <v>6894.87378669601</v>
      </c>
      <c r="I30" s="28">
        <f t="shared" si="4"/>
        <v>4022.0097089060064</v>
      </c>
      <c r="J30" s="28">
        <f t="shared" si="5"/>
        <v>3830.485437053339</v>
      </c>
      <c r="K30" s="28">
        <f t="shared" si="6"/>
        <v>142430.21683443332</v>
      </c>
      <c r="L30" s="37">
        <v>3852</v>
      </c>
      <c r="M30" s="38">
        <f>826.8+13</f>
        <v>839.8</v>
      </c>
      <c r="N30" s="38">
        <f>599.8+13</f>
        <v>612.79999999999995</v>
      </c>
      <c r="O30" s="57"/>
      <c r="P30" s="30"/>
      <c r="Q30" s="31"/>
      <c r="R30" s="32">
        <v>250</v>
      </c>
      <c r="S30" s="32"/>
      <c r="T30" s="33">
        <f t="shared" si="7"/>
        <v>147984.8168344333</v>
      </c>
    </row>
    <row r="31" spans="1:20" s="34" customFormat="1" ht="15.75" hidden="1" customHeight="1">
      <c r="A31" s="51">
        <v>24</v>
      </c>
      <c r="B31" s="52" t="s">
        <v>42</v>
      </c>
      <c r="C31" s="27">
        <f>'[1]Свод '!$J$28/1000</f>
        <v>9770.7607949533067</v>
      </c>
      <c r="D31" s="27">
        <f t="shared" si="0"/>
        <v>527.62108292747848</v>
      </c>
      <c r="E31" s="27">
        <f t="shared" si="1"/>
        <v>307.77896504102915</v>
      </c>
      <c r="F31" s="27">
        <f t="shared" si="2"/>
        <v>195.41521589906614</v>
      </c>
      <c r="G31" s="28">
        <f>'[2]Свод '!$L$30</f>
        <v>163577.25573617715</v>
      </c>
      <c r="H31" s="28">
        <f t="shared" si="3"/>
        <v>8833.1718097535668</v>
      </c>
      <c r="I31" s="28">
        <f t="shared" si="4"/>
        <v>5152.6835556895812</v>
      </c>
      <c r="J31" s="28">
        <f t="shared" si="5"/>
        <v>4907.3176720853144</v>
      </c>
      <c r="K31" s="28">
        <f t="shared" si="6"/>
        <v>182470.42877370561</v>
      </c>
      <c r="L31" s="37">
        <v>3704</v>
      </c>
      <c r="M31" s="38">
        <f>283+13</f>
        <v>296</v>
      </c>
      <c r="N31" s="38">
        <f>1120.2+13</f>
        <v>1133.2</v>
      </c>
      <c r="O31" s="57"/>
      <c r="P31" s="30"/>
      <c r="Q31" s="31"/>
      <c r="R31" s="32">
        <v>250</v>
      </c>
      <c r="S31" s="32"/>
      <c r="T31" s="33">
        <f t="shared" si="7"/>
        <v>187853.62877370563</v>
      </c>
    </row>
    <row r="32" spans="1:20" s="34" customFormat="1" ht="15.75" hidden="1" customHeight="1">
      <c r="A32" s="51">
        <v>25</v>
      </c>
      <c r="B32" s="52" t="s">
        <v>43</v>
      </c>
      <c r="C32" s="27">
        <f>'[1]Свод '!$J$32/1000</f>
        <v>6678.4900416564324</v>
      </c>
      <c r="D32" s="27">
        <f t="shared" si="0"/>
        <v>360.63846224944734</v>
      </c>
      <c r="E32" s="27">
        <f t="shared" si="1"/>
        <v>210.37243631217763</v>
      </c>
      <c r="F32" s="27">
        <f t="shared" si="2"/>
        <v>133.56980083312865</v>
      </c>
      <c r="G32" s="28">
        <f>'[2]Свод '!$L$34</f>
        <v>127850.87805197298</v>
      </c>
      <c r="H32" s="28">
        <f t="shared" si="3"/>
        <v>6903.9474148065401</v>
      </c>
      <c r="I32" s="28">
        <f t="shared" si="4"/>
        <v>4027.3026586371493</v>
      </c>
      <c r="J32" s="28">
        <f t="shared" si="5"/>
        <v>3835.5263415591889</v>
      </c>
      <c r="K32" s="28">
        <f t="shared" si="6"/>
        <v>142617.65446697586</v>
      </c>
      <c r="L32" s="37">
        <v>3704</v>
      </c>
      <c r="M32" s="38">
        <v>455.7</v>
      </c>
      <c r="N32" s="38">
        <f>403.2+432+13</f>
        <v>848.2</v>
      </c>
      <c r="O32" s="57">
        <v>83</v>
      </c>
      <c r="P32" s="30"/>
      <c r="Q32" s="31"/>
      <c r="R32" s="32">
        <v>250</v>
      </c>
      <c r="S32" s="32"/>
      <c r="T32" s="33">
        <f t="shared" si="7"/>
        <v>147958.55446697588</v>
      </c>
    </row>
    <row r="33" spans="1:20" s="34" customFormat="1" ht="15.75" hidden="1" customHeight="1">
      <c r="A33" s="51">
        <v>26</v>
      </c>
      <c r="B33" s="52" t="s">
        <v>44</v>
      </c>
      <c r="C33" s="27">
        <f>'[1]Свод '!$J$29/1000</f>
        <v>10489.088921817891</v>
      </c>
      <c r="D33" s="27">
        <f t="shared" si="0"/>
        <v>566.41080177816605</v>
      </c>
      <c r="E33" s="27">
        <f t="shared" si="1"/>
        <v>330.40630103726357</v>
      </c>
      <c r="F33" s="27">
        <f t="shared" si="2"/>
        <v>209.78177843635783</v>
      </c>
      <c r="G33" s="28">
        <f>'[2]Свод '!$L$31</f>
        <v>183100.22207349981</v>
      </c>
      <c r="H33" s="28">
        <f t="shared" si="3"/>
        <v>9887.4119919689892</v>
      </c>
      <c r="I33" s="28">
        <f t="shared" si="4"/>
        <v>5767.6569953152448</v>
      </c>
      <c r="J33" s="28">
        <f t="shared" si="5"/>
        <v>5493.0066622049944</v>
      </c>
      <c r="K33" s="28">
        <f t="shared" si="6"/>
        <v>204248.29772298905</v>
      </c>
      <c r="L33" s="37">
        <v>5927</v>
      </c>
      <c r="M33" s="38">
        <v>1278.5</v>
      </c>
      <c r="N33" s="38">
        <f>1283.4+13</f>
        <v>1296.4000000000001</v>
      </c>
      <c r="O33" s="57">
        <v>161</v>
      </c>
      <c r="P33" s="30">
        <v>175</v>
      </c>
      <c r="Q33" s="31"/>
      <c r="R33" s="32">
        <v>250</v>
      </c>
      <c r="S33" s="32"/>
      <c r="T33" s="33">
        <f t="shared" si="7"/>
        <v>213336.19772298905</v>
      </c>
    </row>
    <row r="34" spans="1:20" s="34" customFormat="1" ht="15.75" hidden="1" customHeight="1">
      <c r="A34" s="51">
        <v>27</v>
      </c>
      <c r="B34" s="52" t="s">
        <v>85</v>
      </c>
      <c r="C34" s="27">
        <f>'[1]Свод '!$J$30/1000</f>
        <v>6201.4422744585163</v>
      </c>
      <c r="D34" s="27">
        <f t="shared" si="0"/>
        <v>334.87788282075991</v>
      </c>
      <c r="E34" s="27">
        <f t="shared" si="1"/>
        <v>195.34543164544328</v>
      </c>
      <c r="F34" s="27">
        <f t="shared" si="2"/>
        <v>124.02884548917032</v>
      </c>
      <c r="G34" s="28">
        <f>'[2]Свод '!$L$32</f>
        <v>77777.301857733997</v>
      </c>
      <c r="H34" s="28">
        <f t="shared" si="3"/>
        <v>4199.9743003176354</v>
      </c>
      <c r="I34" s="28">
        <f t="shared" si="4"/>
        <v>2449.9850085186213</v>
      </c>
      <c r="J34" s="28">
        <f t="shared" si="5"/>
        <v>2333.3190557320199</v>
      </c>
      <c r="K34" s="28">
        <f t="shared" si="6"/>
        <v>86760.580222302277</v>
      </c>
      <c r="L34" s="37">
        <v>3333</v>
      </c>
      <c r="M34" s="38">
        <f>640.1+13</f>
        <v>653.1</v>
      </c>
      <c r="N34" s="38">
        <f>403.2+13</f>
        <v>416.2</v>
      </c>
      <c r="O34" s="57"/>
      <c r="P34" s="30"/>
      <c r="Q34" s="31"/>
      <c r="R34" s="32">
        <v>200</v>
      </c>
      <c r="S34" s="32"/>
      <c r="T34" s="33">
        <f t="shared" si="7"/>
        <v>91362.880222302279</v>
      </c>
    </row>
    <row r="35" spans="1:20" s="50" customFormat="1" ht="15.75" hidden="1" customHeight="1">
      <c r="A35" s="39">
        <v>28</v>
      </c>
      <c r="B35" s="40" t="s">
        <v>45</v>
      </c>
      <c r="C35" s="41">
        <v>16253</v>
      </c>
      <c r="D35" s="41">
        <f t="shared" si="0"/>
        <v>877.66200000000003</v>
      </c>
      <c r="E35" s="41">
        <f t="shared" si="1"/>
        <v>511.9695000000001</v>
      </c>
      <c r="F35" s="41">
        <f t="shared" si="2"/>
        <v>325.06</v>
      </c>
      <c r="G35" s="42">
        <f>'[2]Свод '!$L$35</f>
        <v>278183.02253505104</v>
      </c>
      <c r="H35" s="42">
        <f t="shared" si="3"/>
        <v>15021.883216892757</v>
      </c>
      <c r="I35" s="42">
        <f t="shared" si="4"/>
        <v>8762.7652098541093</v>
      </c>
      <c r="J35" s="28">
        <f t="shared" si="5"/>
        <v>8345.4906760515314</v>
      </c>
      <c r="K35" s="42">
        <f t="shared" si="6"/>
        <v>310313.16163784947</v>
      </c>
      <c r="L35" s="43">
        <v>5186</v>
      </c>
      <c r="M35" s="44">
        <f>1152.5+13</f>
        <v>1165.5</v>
      </c>
      <c r="N35" s="43">
        <f>1766+132</f>
        <v>1898</v>
      </c>
      <c r="O35" s="42">
        <f>'[3]прил 4 Шагалалы Зер '!$I$100</f>
        <v>662</v>
      </c>
      <c r="P35" s="46"/>
      <c r="Q35" s="58"/>
      <c r="R35" s="59">
        <v>250</v>
      </c>
      <c r="S35" s="48"/>
      <c r="T35" s="49">
        <f t="shared" si="7"/>
        <v>319474.66163784947</v>
      </c>
    </row>
    <row r="36" spans="1:20" s="34" customFormat="1" ht="15.75" hidden="1" customHeight="1">
      <c r="A36" s="51">
        <v>29</v>
      </c>
      <c r="B36" s="52" t="s">
        <v>46</v>
      </c>
      <c r="C36" s="27">
        <f>'[1]Свод '!$J$34/1000</f>
        <v>6468.2395284918512</v>
      </c>
      <c r="D36" s="27">
        <f t="shared" si="0"/>
        <v>349.28493453855998</v>
      </c>
      <c r="E36" s="27">
        <f t="shared" si="1"/>
        <v>203.74954514749334</v>
      </c>
      <c r="F36" s="27">
        <f t="shared" si="2"/>
        <v>129.36479056983703</v>
      </c>
      <c r="G36" s="28">
        <f>'[2]Свод '!$L$36</f>
        <v>102575.32456188902</v>
      </c>
      <c r="H36" s="28">
        <f t="shared" si="3"/>
        <v>5539.0675263420071</v>
      </c>
      <c r="I36" s="28">
        <f t="shared" si="4"/>
        <v>3231.1227236995046</v>
      </c>
      <c r="J36" s="28">
        <f t="shared" si="5"/>
        <v>3077.2597368566703</v>
      </c>
      <c r="K36" s="28">
        <f t="shared" si="6"/>
        <v>114422.7745487872</v>
      </c>
      <c r="L36" s="37">
        <v>7408</v>
      </c>
      <c r="M36" s="38">
        <f>1495+13</f>
        <v>1508</v>
      </c>
      <c r="N36" s="38">
        <f>359.8+133</f>
        <v>492.8</v>
      </c>
      <c r="O36" s="29"/>
      <c r="P36" s="30"/>
      <c r="Q36" s="31"/>
      <c r="R36" s="32">
        <v>210</v>
      </c>
      <c r="S36" s="32"/>
      <c r="T36" s="33">
        <f t="shared" si="7"/>
        <v>124041.5745487872</v>
      </c>
    </row>
    <row r="37" spans="1:20" s="34" customFormat="1" ht="15.75" hidden="1" customHeight="1">
      <c r="A37" s="51">
        <v>30</v>
      </c>
      <c r="B37" s="52" t="s">
        <v>47</v>
      </c>
      <c r="C37" s="27">
        <f>'[1]Свод '!$J$36/1000</f>
        <v>4405.815049957946</v>
      </c>
      <c r="D37" s="27">
        <f t="shared" si="0"/>
        <v>237.91401269772908</v>
      </c>
      <c r="E37" s="27">
        <f t="shared" si="1"/>
        <v>138.78317407367533</v>
      </c>
      <c r="F37" s="27">
        <f t="shared" si="2"/>
        <v>88.116300999158923</v>
      </c>
      <c r="G37" s="28">
        <f>'[2]Свод '!$L$38</f>
        <v>75420.26173245105</v>
      </c>
      <c r="H37" s="28">
        <f t="shared" si="3"/>
        <v>4072.6941335523566</v>
      </c>
      <c r="I37" s="28">
        <f t="shared" si="4"/>
        <v>2375.7382445722083</v>
      </c>
      <c r="J37" s="28">
        <f t="shared" si="5"/>
        <v>2262.6078519735315</v>
      </c>
      <c r="K37" s="28">
        <f t="shared" si="6"/>
        <v>84131.301962549143</v>
      </c>
      <c r="L37" s="37">
        <v>5186</v>
      </c>
      <c r="M37" s="38">
        <f>566.1+13</f>
        <v>579.1</v>
      </c>
      <c r="N37" s="38">
        <v>640.20000000000005</v>
      </c>
      <c r="O37" s="29">
        <v>161</v>
      </c>
      <c r="P37" s="30"/>
      <c r="Q37" s="31"/>
      <c r="R37" s="32">
        <v>210</v>
      </c>
      <c r="S37" s="32"/>
      <c r="T37" s="33">
        <f t="shared" si="7"/>
        <v>90907.601962549146</v>
      </c>
    </row>
    <row r="38" spans="1:20" s="34" customFormat="1" ht="15.75" hidden="1" customHeight="1">
      <c r="A38" s="51">
        <v>31</v>
      </c>
      <c r="B38" s="52" t="s">
        <v>48</v>
      </c>
      <c r="C38" s="27">
        <f>'[1]Свод '!$J$35/1000</f>
        <v>3807.9689260522664</v>
      </c>
      <c r="D38" s="27">
        <f t="shared" si="0"/>
        <v>205.63032200682238</v>
      </c>
      <c r="E38" s="27">
        <f t="shared" si="1"/>
        <v>119.9510211706464</v>
      </c>
      <c r="F38" s="27">
        <f t="shared" si="2"/>
        <v>76.159378521045326</v>
      </c>
      <c r="G38" s="28">
        <f>'[2]Свод '!$L$37</f>
        <v>87680.03188158448</v>
      </c>
      <c r="H38" s="28">
        <f t="shared" si="3"/>
        <v>4734.7217216055624</v>
      </c>
      <c r="I38" s="28">
        <f t="shared" si="4"/>
        <v>2761.9210042699115</v>
      </c>
      <c r="J38" s="28">
        <f t="shared" si="5"/>
        <v>2630.4009564475341</v>
      </c>
      <c r="K38" s="28">
        <f t="shared" si="6"/>
        <v>97807.075563907478</v>
      </c>
      <c r="L38" s="37">
        <v>5186</v>
      </c>
      <c r="M38" s="38">
        <f>283+13</f>
        <v>296</v>
      </c>
      <c r="N38" s="38">
        <v>155</v>
      </c>
      <c r="O38" s="29"/>
      <c r="P38" s="30"/>
      <c r="Q38" s="31"/>
      <c r="R38" s="32">
        <v>210</v>
      </c>
      <c r="S38" s="32"/>
      <c r="T38" s="33">
        <f t="shared" si="7"/>
        <v>103654.07556390748</v>
      </c>
    </row>
    <row r="39" spans="1:20" s="34" customFormat="1" ht="15.75" hidden="1" customHeight="1">
      <c r="A39" s="51">
        <v>32</v>
      </c>
      <c r="B39" s="52" t="s">
        <v>49</v>
      </c>
      <c r="C39" s="27">
        <f>'[1]Свод '!$J$39/1000</f>
        <v>7587.0912818296629</v>
      </c>
      <c r="D39" s="27">
        <f t="shared" si="0"/>
        <v>409.70292921880178</v>
      </c>
      <c r="E39" s="27">
        <f t="shared" si="1"/>
        <v>238.99337537763441</v>
      </c>
      <c r="F39" s="27">
        <f t="shared" si="2"/>
        <v>151.74182563659326</v>
      </c>
      <c r="G39" s="28">
        <f>'[2]Свод '!$L$14</f>
        <v>131436.28634382659</v>
      </c>
      <c r="H39" s="28">
        <f t="shared" si="3"/>
        <v>7097.5594625666354</v>
      </c>
      <c r="I39" s="28">
        <f t="shared" si="4"/>
        <v>4140.2430198305383</v>
      </c>
      <c r="J39" s="28">
        <f t="shared" si="5"/>
        <v>3943.0885903147978</v>
      </c>
      <c r="K39" s="28">
        <f t="shared" si="6"/>
        <v>146617.17741653856</v>
      </c>
      <c r="L39" s="37">
        <v>5500</v>
      </c>
      <c r="M39" s="38">
        <v>321</v>
      </c>
      <c r="N39" s="38">
        <v>233</v>
      </c>
      <c r="O39" s="29">
        <v>161</v>
      </c>
      <c r="P39" s="30"/>
      <c r="Q39" s="31"/>
      <c r="R39" s="32">
        <v>210</v>
      </c>
      <c r="S39" s="32"/>
      <c r="T39" s="33">
        <f t="shared" si="7"/>
        <v>153042.17741653856</v>
      </c>
    </row>
    <row r="40" spans="1:20" s="34" customFormat="1" ht="15.75" hidden="1" customHeight="1">
      <c r="A40" s="51">
        <v>33</v>
      </c>
      <c r="B40" s="52" t="s">
        <v>50</v>
      </c>
      <c r="C40" s="27">
        <f>'[1]Свод '!$J$38/1000</f>
        <v>4116.4666800585164</v>
      </c>
      <c r="D40" s="27">
        <f t="shared" si="0"/>
        <v>222.28920072315989</v>
      </c>
      <c r="E40" s="27">
        <f t="shared" si="1"/>
        <v>129.66870042184328</v>
      </c>
      <c r="F40" s="27">
        <f t="shared" si="2"/>
        <v>82.329333601170333</v>
      </c>
      <c r="G40" s="28">
        <f>'[2]Свод '!$L$39</f>
        <v>61835.555182837204</v>
      </c>
      <c r="H40" s="28">
        <f t="shared" si="3"/>
        <v>3339.1199798732091</v>
      </c>
      <c r="I40" s="28">
        <f t="shared" si="4"/>
        <v>1947.8199882593722</v>
      </c>
      <c r="J40" s="28">
        <f t="shared" si="5"/>
        <v>1855.0666554851161</v>
      </c>
      <c r="K40" s="28">
        <f t="shared" si="6"/>
        <v>68977.561806454905</v>
      </c>
      <c r="L40" s="37">
        <v>5186</v>
      </c>
      <c r="M40" s="38">
        <v>544.20000000000005</v>
      </c>
      <c r="N40" s="38">
        <v>131.4</v>
      </c>
      <c r="O40" s="29">
        <f>83+83</f>
        <v>166</v>
      </c>
      <c r="P40" s="30"/>
      <c r="Q40" s="31"/>
      <c r="R40" s="32">
        <v>210</v>
      </c>
      <c r="S40" s="32"/>
      <c r="T40" s="33">
        <f t="shared" si="7"/>
        <v>75215.161806454897</v>
      </c>
    </row>
    <row r="41" spans="1:20" s="34" customFormat="1" ht="15.75" hidden="1" customHeight="1">
      <c r="A41" s="51">
        <v>34</v>
      </c>
      <c r="B41" s="52" t="s">
        <v>51</v>
      </c>
      <c r="C41" s="27">
        <f>'[1]Свод '!$J$37/1000</f>
        <v>750.94086783294733</v>
      </c>
      <c r="D41" s="27">
        <f t="shared" si="0"/>
        <v>40.550806862979151</v>
      </c>
      <c r="E41" s="27">
        <f t="shared" si="1"/>
        <v>23.654637336737842</v>
      </c>
      <c r="F41" s="27">
        <f t="shared" si="2"/>
        <v>15.018817356658946</v>
      </c>
      <c r="G41" s="28">
        <f>'[2]Свод '!$L$66</f>
        <v>11440.936390106177</v>
      </c>
      <c r="H41" s="28">
        <f t="shared" si="3"/>
        <v>617.8105650657335</v>
      </c>
      <c r="I41" s="28">
        <f t="shared" si="4"/>
        <v>360.38949628834462</v>
      </c>
      <c r="J41" s="28">
        <f t="shared" si="5"/>
        <v>343.22809170318527</v>
      </c>
      <c r="K41" s="28">
        <f t="shared" si="6"/>
        <v>12762.364543163441</v>
      </c>
      <c r="L41" s="37">
        <v>518</v>
      </c>
      <c r="M41" s="38">
        <f>283+13</f>
        <v>296</v>
      </c>
      <c r="N41" s="38">
        <v>155</v>
      </c>
      <c r="O41" s="29">
        <v>83</v>
      </c>
      <c r="P41" s="30"/>
      <c r="Q41" s="31"/>
      <c r="R41" s="32">
        <v>50</v>
      </c>
      <c r="S41" s="32"/>
      <c r="T41" s="33">
        <f t="shared" si="7"/>
        <v>13864.364543163441</v>
      </c>
    </row>
    <row r="42" spans="1:20" s="50" customFormat="1" ht="15.75" hidden="1" customHeight="1">
      <c r="A42" s="39">
        <v>35</v>
      </c>
      <c r="B42" s="40" t="s">
        <v>52</v>
      </c>
      <c r="C42" s="41">
        <f>'[1]Свод '!$J$41/1000</f>
        <v>8241.4683737085161</v>
      </c>
      <c r="D42" s="41">
        <f t="shared" si="0"/>
        <v>445.03929218025979</v>
      </c>
      <c r="E42" s="41">
        <f t="shared" si="1"/>
        <v>259.60625377181827</v>
      </c>
      <c r="F42" s="41">
        <f t="shared" si="2"/>
        <v>164.82936747417031</v>
      </c>
      <c r="G42" s="42">
        <f>'[2]Свод '!$L$41</f>
        <v>152622.42331105011</v>
      </c>
      <c r="H42" s="42">
        <f t="shared" si="3"/>
        <v>8241.6108587967046</v>
      </c>
      <c r="I42" s="42">
        <f t="shared" si="4"/>
        <v>4807.6063342980788</v>
      </c>
      <c r="J42" s="28">
        <f t="shared" si="5"/>
        <v>4578.6726993315033</v>
      </c>
      <c r="K42" s="42">
        <f t="shared" si="6"/>
        <v>170250.31320347643</v>
      </c>
      <c r="L42" s="43">
        <v>3930</v>
      </c>
      <c r="M42" s="44">
        <v>333</v>
      </c>
      <c r="N42" s="44">
        <v>359.8</v>
      </c>
      <c r="O42" s="45">
        <v>83</v>
      </c>
      <c r="P42" s="46"/>
      <c r="Q42" s="47"/>
      <c r="R42" s="48">
        <v>271</v>
      </c>
      <c r="S42" s="48"/>
      <c r="T42" s="49">
        <f t="shared" si="7"/>
        <v>175227.11320347642</v>
      </c>
    </row>
    <row r="43" spans="1:20" s="34" customFormat="1" ht="15.75" hidden="1" customHeight="1">
      <c r="A43" s="51">
        <v>36</v>
      </c>
      <c r="B43" s="52" t="s">
        <v>53</v>
      </c>
      <c r="C43" s="27">
        <f>'[1]Свод '!$J$42/1000</f>
        <v>6425.0795290933629</v>
      </c>
      <c r="D43" s="27">
        <f t="shared" si="0"/>
        <v>346.9542945710416</v>
      </c>
      <c r="E43" s="27">
        <f t="shared" si="1"/>
        <v>202.39000516644094</v>
      </c>
      <c r="F43" s="27">
        <f t="shared" si="2"/>
        <v>128.50159058186725</v>
      </c>
      <c r="G43" s="28">
        <f>'[2]Свод '!$L$42</f>
        <v>126603.96451635</v>
      </c>
      <c r="H43" s="28">
        <f t="shared" si="3"/>
        <v>6836.6140838828996</v>
      </c>
      <c r="I43" s="28">
        <f t="shared" si="4"/>
        <v>3988.0248822650256</v>
      </c>
      <c r="J43" s="28">
        <f t="shared" si="5"/>
        <v>3798.1189354904996</v>
      </c>
      <c r="K43" s="28">
        <f t="shared" si="6"/>
        <v>141226.72241798841</v>
      </c>
      <c r="L43" s="37"/>
      <c r="M43" s="38">
        <f>418.4+13</f>
        <v>431.4</v>
      </c>
      <c r="N43" s="38">
        <v>403</v>
      </c>
      <c r="O43" s="29">
        <v>161</v>
      </c>
      <c r="P43" s="30"/>
      <c r="Q43" s="31"/>
      <c r="R43" s="32">
        <v>210</v>
      </c>
      <c r="S43" s="32"/>
      <c r="T43" s="33">
        <f t="shared" si="7"/>
        <v>142432.1224179884</v>
      </c>
    </row>
    <row r="44" spans="1:20" s="66" customFormat="1" ht="15.75" hidden="1" customHeight="1">
      <c r="A44" s="60">
        <v>37</v>
      </c>
      <c r="B44" s="61" t="s">
        <v>54</v>
      </c>
      <c r="C44" s="62">
        <f>'[1]Свод '!$J$43/1000</f>
        <v>3725.8337278121139</v>
      </c>
      <c r="D44" s="62">
        <f t="shared" si="0"/>
        <v>201.19502130185415</v>
      </c>
      <c r="E44" s="62">
        <f t="shared" si="1"/>
        <v>117.36376242608159</v>
      </c>
      <c r="F44" s="62">
        <f t="shared" si="2"/>
        <v>74.516674556242279</v>
      </c>
      <c r="G44" s="28">
        <f>'[2]Свод '!$L$43</f>
        <v>80384.962363995379</v>
      </c>
      <c r="H44" s="63">
        <f t="shared" si="3"/>
        <v>4340.7879676557495</v>
      </c>
      <c r="I44" s="63">
        <f t="shared" si="4"/>
        <v>2532.1263144658546</v>
      </c>
      <c r="J44" s="28">
        <f t="shared" si="5"/>
        <v>2411.5488709198612</v>
      </c>
      <c r="K44" s="28">
        <f t="shared" si="6"/>
        <v>89669.425517036841</v>
      </c>
      <c r="L44" s="64">
        <v>3852</v>
      </c>
      <c r="M44" s="65">
        <f>183+13</f>
        <v>196</v>
      </c>
      <c r="N44" s="65">
        <v>155</v>
      </c>
      <c r="O44" s="29"/>
      <c r="P44" s="30"/>
      <c r="Q44" s="31"/>
      <c r="R44" s="32">
        <v>210</v>
      </c>
      <c r="S44" s="32"/>
      <c r="T44" s="33">
        <f t="shared" si="7"/>
        <v>94082.425517036841</v>
      </c>
    </row>
    <row r="45" spans="1:20" s="34" customFormat="1" ht="15.75" hidden="1" customHeight="1">
      <c r="A45" s="51">
        <v>39</v>
      </c>
      <c r="B45" s="52" t="s">
        <v>55</v>
      </c>
      <c r="C45" s="27">
        <f>'[1]Свод '!$J$45/1000</f>
        <v>3701.8287106355992</v>
      </c>
      <c r="D45" s="27">
        <f t="shared" si="0"/>
        <v>199.89875037432233</v>
      </c>
      <c r="E45" s="27">
        <f t="shared" si="1"/>
        <v>116.60760438502139</v>
      </c>
      <c r="F45" s="27">
        <f t="shared" si="2"/>
        <v>74.036574212711983</v>
      </c>
      <c r="G45" s="28">
        <f>'[2]Свод '!$L$45</f>
        <v>64354.772667258694</v>
      </c>
      <c r="H45" s="28">
        <f t="shared" si="3"/>
        <v>3475.1577240319693</v>
      </c>
      <c r="I45" s="28">
        <f t="shared" si="4"/>
        <v>2027.1753390186489</v>
      </c>
      <c r="J45" s="28">
        <f t="shared" si="5"/>
        <v>1930.6431800177606</v>
      </c>
      <c r="K45" s="28">
        <f t="shared" si="6"/>
        <v>71787.748910327078</v>
      </c>
      <c r="L45" s="37">
        <v>2594</v>
      </c>
      <c r="M45" s="38">
        <f>135+13</f>
        <v>148</v>
      </c>
      <c r="N45" s="65">
        <v>155</v>
      </c>
      <c r="O45" s="29"/>
      <c r="P45" s="30"/>
      <c r="Q45" s="31"/>
      <c r="R45" s="32">
        <v>210</v>
      </c>
      <c r="S45" s="32"/>
      <c r="T45" s="33">
        <f t="shared" si="7"/>
        <v>74894.748910327078</v>
      </c>
    </row>
    <row r="46" spans="1:20" s="34" customFormat="1" ht="15.75" hidden="1" customHeight="1">
      <c r="A46" s="51">
        <v>40</v>
      </c>
      <c r="B46" s="52" t="s">
        <v>56</v>
      </c>
      <c r="C46" s="27">
        <f>'[1]Свод '!$J$46/1000</f>
        <v>4431.6803452793492</v>
      </c>
      <c r="D46" s="27">
        <f t="shared" si="0"/>
        <v>239.31073864508483</v>
      </c>
      <c r="E46" s="27">
        <f t="shared" si="1"/>
        <v>139.5979308762995</v>
      </c>
      <c r="F46" s="27">
        <f t="shared" si="2"/>
        <v>88.633606905586987</v>
      </c>
      <c r="G46" s="28">
        <f>'[2]Свод '!$L$46</f>
        <v>77595.338628082725</v>
      </c>
      <c r="H46" s="28">
        <f t="shared" si="3"/>
        <v>4190.1482859164671</v>
      </c>
      <c r="I46" s="28">
        <f t="shared" si="4"/>
        <v>2444.253166784606</v>
      </c>
      <c r="J46" s="28">
        <f t="shared" si="5"/>
        <v>2327.8601588424817</v>
      </c>
      <c r="K46" s="28">
        <f t="shared" si="6"/>
        <v>86557.600239626277</v>
      </c>
      <c r="L46" s="37">
        <v>2594</v>
      </c>
      <c r="M46" s="38">
        <f>993.4+13</f>
        <v>1006.4</v>
      </c>
      <c r="N46" s="65">
        <v>155</v>
      </c>
      <c r="O46" s="29">
        <v>83</v>
      </c>
      <c r="P46" s="30"/>
      <c r="Q46" s="31"/>
      <c r="R46" s="32">
        <v>210</v>
      </c>
      <c r="S46" s="32"/>
      <c r="T46" s="33">
        <f t="shared" si="7"/>
        <v>90606.000239626272</v>
      </c>
    </row>
    <row r="47" spans="1:20" s="34" customFormat="1" ht="15.75" hidden="1" customHeight="1">
      <c r="A47" s="51">
        <v>41</v>
      </c>
      <c r="B47" s="52" t="s">
        <v>57</v>
      </c>
      <c r="C47" s="27">
        <f>'[1]Свод '!$J$44/1000</f>
        <v>5387.8751330599744</v>
      </c>
      <c r="D47" s="27">
        <f t="shared" si="0"/>
        <v>290.94525718523857</v>
      </c>
      <c r="E47" s="27">
        <f t="shared" si="1"/>
        <v>169.7180666913892</v>
      </c>
      <c r="F47" s="27">
        <f t="shared" si="2"/>
        <v>107.7575026611995</v>
      </c>
      <c r="G47" s="28">
        <f>'[2]Свод '!$L$44</f>
        <v>109014.4965040087</v>
      </c>
      <c r="H47" s="28">
        <f t="shared" si="3"/>
        <v>5886.7828112164698</v>
      </c>
      <c r="I47" s="28">
        <f t="shared" si="4"/>
        <v>3433.956639876274</v>
      </c>
      <c r="J47" s="28">
        <f t="shared" si="5"/>
        <v>3270.434895120261</v>
      </c>
      <c r="K47" s="28">
        <f t="shared" si="6"/>
        <v>121605.67085022169</v>
      </c>
      <c r="L47" s="37">
        <v>519</v>
      </c>
      <c r="M47" s="38">
        <f>283+13</f>
        <v>296</v>
      </c>
      <c r="N47" s="65">
        <v>359.8</v>
      </c>
      <c r="O47" s="29"/>
      <c r="P47" s="30"/>
      <c r="Q47" s="31"/>
      <c r="R47" s="32">
        <v>180</v>
      </c>
      <c r="S47" s="32"/>
      <c r="T47" s="33">
        <f t="shared" si="7"/>
        <v>122960.4708502217</v>
      </c>
    </row>
    <row r="48" spans="1:20" s="34" customFormat="1" ht="15.75" hidden="1" customHeight="1">
      <c r="A48" s="51">
        <v>42</v>
      </c>
      <c r="B48" s="52" t="s">
        <v>58</v>
      </c>
      <c r="C48" s="27">
        <f>'[1]Свод '!$J$40/1000</f>
        <v>4508.8782471876812</v>
      </c>
      <c r="D48" s="27">
        <f t="shared" si="0"/>
        <v>243.47942534813478</v>
      </c>
      <c r="E48" s="27">
        <f t="shared" si="1"/>
        <v>142.02966478641196</v>
      </c>
      <c r="F48" s="27">
        <f t="shared" si="2"/>
        <v>90.177564943753623</v>
      </c>
      <c r="G48" s="28">
        <f>'[2]Свод '!$L$40</f>
        <v>70115.72953744969</v>
      </c>
      <c r="H48" s="28">
        <f t="shared" si="3"/>
        <v>3786.2493950222834</v>
      </c>
      <c r="I48" s="28">
        <f t="shared" si="4"/>
        <v>2208.6454804296654</v>
      </c>
      <c r="J48" s="28">
        <f t="shared" si="5"/>
        <v>2103.4718861234905</v>
      </c>
      <c r="K48" s="28">
        <f t="shared" si="6"/>
        <v>78214.096299025128</v>
      </c>
      <c r="L48" s="37">
        <v>519</v>
      </c>
      <c r="M48" s="38">
        <f>321.5+13</f>
        <v>334.5</v>
      </c>
      <c r="N48" s="38">
        <f>208+12</f>
        <v>220</v>
      </c>
      <c r="O48" s="29">
        <v>83</v>
      </c>
      <c r="P48" s="30"/>
      <c r="Q48" s="31"/>
      <c r="R48" s="32">
        <v>180</v>
      </c>
      <c r="S48" s="32"/>
      <c r="T48" s="33">
        <f t="shared" si="7"/>
        <v>79550.596299025128</v>
      </c>
    </row>
    <row r="49" spans="1:20" s="34" customFormat="1" ht="15.75" hidden="1" customHeight="1">
      <c r="A49" s="51">
        <v>44</v>
      </c>
      <c r="B49" s="52" t="s">
        <v>59</v>
      </c>
      <c r="C49" s="27">
        <f>'[1]Свод '!$J$47/1000</f>
        <v>970.77216614128042</v>
      </c>
      <c r="D49" s="27">
        <f t="shared" si="0"/>
        <v>52.421696971629139</v>
      </c>
      <c r="E49" s="27">
        <f t="shared" si="1"/>
        <v>30.579323233450339</v>
      </c>
      <c r="F49" s="27">
        <f t="shared" si="2"/>
        <v>19.41544332282561</v>
      </c>
      <c r="G49" s="28">
        <f>'[2]Свод '!$L$65</f>
        <v>13251.594896714405</v>
      </c>
      <c r="H49" s="28">
        <f t="shared" si="3"/>
        <v>715.58612442257788</v>
      </c>
      <c r="I49" s="28">
        <f t="shared" si="4"/>
        <v>417.42523924650385</v>
      </c>
      <c r="J49" s="28">
        <f t="shared" si="5"/>
        <v>397.54784690143214</v>
      </c>
      <c r="K49" s="28">
        <f t="shared" si="6"/>
        <v>14782.15410728492</v>
      </c>
      <c r="L49" s="37">
        <f>460+310</f>
        <v>770</v>
      </c>
      <c r="M49" s="38">
        <v>28.2</v>
      </c>
      <c r="N49" s="38">
        <v>155</v>
      </c>
      <c r="O49" s="29">
        <v>0</v>
      </c>
      <c r="P49" s="30"/>
      <c r="Q49" s="31"/>
      <c r="R49" s="32">
        <v>50</v>
      </c>
      <c r="S49" s="32"/>
      <c r="T49" s="33">
        <f t="shared" si="7"/>
        <v>15785.35410728492</v>
      </c>
    </row>
    <row r="50" spans="1:20" s="34" customFormat="1" ht="15.75" hidden="1" customHeight="1">
      <c r="A50" s="51">
        <v>45</v>
      </c>
      <c r="B50" s="52" t="s">
        <v>60</v>
      </c>
      <c r="C50" s="27">
        <f>'[1]Свод '!$J$53/1000</f>
        <v>3357.7147371766973</v>
      </c>
      <c r="D50" s="27">
        <f t="shared" si="0"/>
        <v>181.31659580754166</v>
      </c>
      <c r="E50" s="27">
        <f t="shared" si="1"/>
        <v>105.76801422106597</v>
      </c>
      <c r="F50" s="27">
        <f t="shared" si="2"/>
        <v>67.154294743533953</v>
      </c>
      <c r="G50" s="28">
        <f>'[2]Свод '!$L$51</f>
        <v>63788.402945208698</v>
      </c>
      <c r="H50" s="28">
        <f t="shared" si="3"/>
        <v>3444.5737590412696</v>
      </c>
      <c r="I50" s="28">
        <f t="shared" si="4"/>
        <v>2009.334692774074</v>
      </c>
      <c r="J50" s="28">
        <f t="shared" si="5"/>
        <v>1913.6520883562609</v>
      </c>
      <c r="K50" s="28">
        <f t="shared" si="6"/>
        <v>71155.963485380315</v>
      </c>
      <c r="L50" s="37">
        <v>2222</v>
      </c>
      <c r="M50" s="38">
        <f>102.5+13</f>
        <v>115.5</v>
      </c>
      <c r="N50" s="38">
        <f>208.3+13</f>
        <v>221.3</v>
      </c>
      <c r="O50" s="29">
        <v>83</v>
      </c>
      <c r="P50" s="30"/>
      <c r="Q50" s="31"/>
      <c r="R50" s="32">
        <v>180</v>
      </c>
      <c r="S50" s="32"/>
      <c r="T50" s="33">
        <f t="shared" si="7"/>
        <v>73977.763485380317</v>
      </c>
    </row>
    <row r="51" spans="1:20" s="34" customFormat="1" ht="15.75" hidden="1" customHeight="1">
      <c r="A51" s="51">
        <v>46</v>
      </c>
      <c r="B51" s="52" t="s">
        <v>61</v>
      </c>
      <c r="C51" s="27">
        <f>'[1]Свод '!$J$50/1000</f>
        <v>3114.1402739293017</v>
      </c>
      <c r="D51" s="27">
        <f t="shared" si="0"/>
        <v>168.16357479218229</v>
      </c>
      <c r="E51" s="27">
        <f t="shared" si="1"/>
        <v>98.095418628773018</v>
      </c>
      <c r="F51" s="27">
        <f t="shared" si="2"/>
        <v>62.282805478586035</v>
      </c>
      <c r="G51" s="28">
        <f>'[2]Свод '!$L$48</f>
        <v>23017.535838708693</v>
      </c>
      <c r="H51" s="28">
        <f t="shared" si="3"/>
        <v>1242.9469352902695</v>
      </c>
      <c r="I51" s="28">
        <f t="shared" si="4"/>
        <v>725.05237891932393</v>
      </c>
      <c r="J51" s="28">
        <f t="shared" si="5"/>
        <v>690.52607516126079</v>
      </c>
      <c r="K51" s="28">
        <f t="shared" si="6"/>
        <v>25676.06122807955</v>
      </c>
      <c r="L51" s="37">
        <v>3852</v>
      </c>
      <c r="M51" s="38">
        <f>131.5+13</f>
        <v>144.5</v>
      </c>
      <c r="N51" s="38">
        <f>360+13</f>
        <v>373</v>
      </c>
      <c r="O51" s="29"/>
      <c r="P51" s="30"/>
      <c r="Q51" s="31"/>
      <c r="R51" s="32">
        <v>180</v>
      </c>
      <c r="S51" s="32"/>
      <c r="T51" s="33">
        <f t="shared" si="7"/>
        <v>30225.56122807955</v>
      </c>
    </row>
    <row r="52" spans="1:20" s="34" customFormat="1" ht="15.75" hidden="1" customHeight="1">
      <c r="A52" s="51">
        <v>47</v>
      </c>
      <c r="B52" s="52" t="s">
        <v>62</v>
      </c>
      <c r="C52" s="27">
        <f>'[1]Свод '!$J$48/1000</f>
        <v>3733.4605312137242</v>
      </c>
      <c r="D52" s="27">
        <f t="shared" si="0"/>
        <v>201.60686868554112</v>
      </c>
      <c r="E52" s="27">
        <f t="shared" si="1"/>
        <v>117.60400673323232</v>
      </c>
      <c r="F52" s="27">
        <f t="shared" si="2"/>
        <v>74.669210624274484</v>
      </c>
      <c r="G52" s="28">
        <f>'[2]Свод '!$L$47</f>
        <v>29777.094759322979</v>
      </c>
      <c r="H52" s="28">
        <f t="shared" si="3"/>
        <v>1607.9631170034409</v>
      </c>
      <c r="I52" s="28">
        <f t="shared" si="4"/>
        <v>937.97848491867398</v>
      </c>
      <c r="J52" s="28">
        <f t="shared" si="5"/>
        <v>893.31284277968939</v>
      </c>
      <c r="K52" s="28">
        <f t="shared" si="6"/>
        <v>33216.34920402478</v>
      </c>
      <c r="L52" s="37">
        <v>6667</v>
      </c>
      <c r="M52" s="38">
        <f>803.4+13</f>
        <v>816.4</v>
      </c>
      <c r="N52" s="38">
        <f>360+13</f>
        <v>373</v>
      </c>
      <c r="O52" s="29">
        <v>83</v>
      </c>
      <c r="P52" s="30"/>
      <c r="Q52" s="31"/>
      <c r="R52" s="32">
        <v>180</v>
      </c>
      <c r="S52" s="32"/>
      <c r="T52" s="33">
        <f t="shared" si="7"/>
        <v>41335.749204024782</v>
      </c>
    </row>
    <row r="53" spans="1:20" s="34" customFormat="1" ht="0.75" hidden="1" customHeight="1">
      <c r="A53" s="51"/>
      <c r="B53" s="52"/>
      <c r="C53" s="27"/>
      <c r="D53" s="27"/>
      <c r="E53" s="27"/>
      <c r="F53" s="27"/>
      <c r="G53" s="28"/>
      <c r="H53" s="28"/>
      <c r="I53" s="28"/>
      <c r="J53" s="28">
        <f t="shared" si="5"/>
        <v>0</v>
      </c>
      <c r="K53" s="28"/>
      <c r="L53" s="37"/>
      <c r="M53" s="38"/>
      <c r="N53" s="38"/>
      <c r="O53" s="29"/>
      <c r="P53" s="30"/>
      <c r="Q53" s="31"/>
      <c r="R53" s="32"/>
      <c r="S53" s="32"/>
      <c r="T53" s="33"/>
    </row>
    <row r="54" spans="1:20" s="50" customFormat="1" ht="18" hidden="1" customHeight="1">
      <c r="A54" s="39">
        <v>49</v>
      </c>
      <c r="B54" s="40" t="s">
        <v>63</v>
      </c>
      <c r="C54" s="41">
        <f>'[1]Свод '!$J$51/1000</f>
        <v>5683.7802916720584</v>
      </c>
      <c r="D54" s="41">
        <f t="shared" si="0"/>
        <v>306.92413575029116</v>
      </c>
      <c r="E54" s="41">
        <f t="shared" si="1"/>
        <v>179.03907918766987</v>
      </c>
      <c r="F54" s="41">
        <f t="shared" si="2"/>
        <v>113.67560583344117</v>
      </c>
      <c r="G54" s="42">
        <f>'[2]Свод '!$L$49</f>
        <v>111122.03006220105</v>
      </c>
      <c r="H54" s="42">
        <f t="shared" si="3"/>
        <v>6000.5896233588564</v>
      </c>
      <c r="I54" s="42">
        <f t="shared" si="4"/>
        <v>3500.3439469593336</v>
      </c>
      <c r="J54" s="28">
        <f t="shared" si="5"/>
        <v>3333.6609018660315</v>
      </c>
      <c r="K54" s="42">
        <f t="shared" si="6"/>
        <v>123956.62453438528</v>
      </c>
      <c r="L54" s="43">
        <v>2562</v>
      </c>
      <c r="M54" s="44">
        <f>642+13</f>
        <v>655</v>
      </c>
      <c r="N54" s="44">
        <f>208.3+162+13</f>
        <v>383.3</v>
      </c>
      <c r="O54" s="45">
        <v>94</v>
      </c>
      <c r="P54" s="46">
        <v>1146</v>
      </c>
      <c r="Q54" s="47"/>
      <c r="R54" s="48">
        <v>250</v>
      </c>
      <c r="S54" s="48"/>
      <c r="T54" s="49">
        <f t="shared" ref="T54:T60" si="8">K54+L54+M54+N54+O54+Q54+P54+R54+S54</f>
        <v>129046.92453438528</v>
      </c>
    </row>
    <row r="55" spans="1:20" s="34" customFormat="1" ht="15.75" hidden="1" customHeight="1">
      <c r="A55" s="51">
        <v>50</v>
      </c>
      <c r="B55" s="52" t="s">
        <v>64</v>
      </c>
      <c r="C55" s="27">
        <f>'[1]Свод '!$J$52/1000</f>
        <v>3830.8684139168495</v>
      </c>
      <c r="D55" s="27">
        <f t="shared" si="0"/>
        <v>206.86689435150984</v>
      </c>
      <c r="E55" s="27">
        <f t="shared" si="1"/>
        <v>120.67235503838077</v>
      </c>
      <c r="F55" s="27">
        <f t="shared" si="2"/>
        <v>76.617368278336997</v>
      </c>
      <c r="G55" s="28">
        <f>'[2]Свод '!$L$50</f>
        <v>57350.19940832298</v>
      </c>
      <c r="H55" s="28">
        <f t="shared" si="3"/>
        <v>3096.9107680494408</v>
      </c>
      <c r="I55" s="28">
        <f t="shared" si="4"/>
        <v>1806.5312813621742</v>
      </c>
      <c r="J55" s="28">
        <f t="shared" si="5"/>
        <v>1720.5059822496894</v>
      </c>
      <c r="K55" s="28">
        <f t="shared" si="6"/>
        <v>63974.147439984285</v>
      </c>
      <c r="L55" s="37">
        <v>5927</v>
      </c>
      <c r="M55" s="38">
        <f>326.4+13</f>
        <v>339.4</v>
      </c>
      <c r="N55" s="38">
        <f>208+13</f>
        <v>221</v>
      </c>
      <c r="O55" s="29"/>
      <c r="P55" s="30"/>
      <c r="Q55" s="31"/>
      <c r="R55" s="32">
        <v>180</v>
      </c>
      <c r="S55" s="32"/>
      <c r="T55" s="33">
        <f t="shared" si="8"/>
        <v>70641.547439984279</v>
      </c>
    </row>
    <row r="56" spans="1:20" s="34" customFormat="1" ht="15.75" hidden="1" customHeight="1">
      <c r="A56" s="51">
        <v>51</v>
      </c>
      <c r="B56" s="52" t="s">
        <v>65</v>
      </c>
      <c r="C56" s="27">
        <f>'[1]Свод '!$J$55/1000</f>
        <v>4295.9332007964895</v>
      </c>
      <c r="D56" s="27">
        <f t="shared" si="0"/>
        <v>231.98039284301043</v>
      </c>
      <c r="E56" s="27">
        <f t="shared" si="1"/>
        <v>135.32189582508943</v>
      </c>
      <c r="F56" s="27">
        <f t="shared" si="2"/>
        <v>85.918664015929792</v>
      </c>
      <c r="G56" s="28">
        <f>'[2]Свод '!$L$53</f>
        <v>80921.271330483694</v>
      </c>
      <c r="H56" s="28">
        <f t="shared" si="3"/>
        <v>4369.7486518461192</v>
      </c>
      <c r="I56" s="28">
        <f t="shared" si="4"/>
        <v>2549.0200469102365</v>
      </c>
      <c r="J56" s="28">
        <f t="shared" si="5"/>
        <v>2427.6381399145107</v>
      </c>
      <c r="K56" s="28">
        <f t="shared" si="6"/>
        <v>90267.678169154577</v>
      </c>
      <c r="L56" s="37">
        <v>1037</v>
      </c>
      <c r="M56" s="38">
        <f>204.6+13</f>
        <v>217.6</v>
      </c>
      <c r="N56" s="38">
        <v>350</v>
      </c>
      <c r="O56" s="29"/>
      <c r="P56" s="30">
        <v>232</v>
      </c>
      <c r="Q56" s="31"/>
      <c r="R56" s="32">
        <v>180</v>
      </c>
      <c r="S56" s="32"/>
      <c r="T56" s="33">
        <f t="shared" si="8"/>
        <v>92284.278169154582</v>
      </c>
    </row>
    <row r="57" spans="1:20" s="34" customFormat="1" ht="15.75" hidden="1" customHeight="1">
      <c r="A57" s="51">
        <v>52</v>
      </c>
      <c r="B57" s="52" t="s">
        <v>66</v>
      </c>
      <c r="C57" s="27">
        <f>'[1]Свод '!$J$56/1000</f>
        <v>3834.7523088121143</v>
      </c>
      <c r="D57" s="27">
        <f t="shared" si="0"/>
        <v>207.07662467585416</v>
      </c>
      <c r="E57" s="27">
        <f t="shared" si="1"/>
        <v>120.79469772758162</v>
      </c>
      <c r="F57" s="27">
        <f t="shared" si="2"/>
        <v>76.695046176242286</v>
      </c>
      <c r="G57" s="28">
        <f>'[2]Свод '!$L$54</f>
        <v>56347.133549756414</v>
      </c>
      <c r="H57" s="28">
        <f t="shared" si="3"/>
        <v>3042.7452116868462</v>
      </c>
      <c r="I57" s="28">
        <f t="shared" si="4"/>
        <v>1774.9347068173272</v>
      </c>
      <c r="J57" s="28">
        <f t="shared" si="5"/>
        <v>1690.4140064926924</v>
      </c>
      <c r="K57" s="28">
        <f t="shared" si="6"/>
        <v>62855.227474753279</v>
      </c>
      <c r="L57" s="37">
        <v>1037</v>
      </c>
      <c r="M57" s="38">
        <f>120+13</f>
        <v>133</v>
      </c>
      <c r="N57" s="38">
        <v>212</v>
      </c>
      <c r="O57" s="29"/>
      <c r="P57" s="30">
        <v>147</v>
      </c>
      <c r="Q57" s="31"/>
      <c r="R57" s="32">
        <v>180</v>
      </c>
      <c r="S57" s="32"/>
      <c r="T57" s="33">
        <f t="shared" si="8"/>
        <v>64564.227474753279</v>
      </c>
    </row>
    <row r="58" spans="1:20" s="50" customFormat="1" ht="15.75" hidden="1" customHeight="1">
      <c r="A58" s="39">
        <v>53</v>
      </c>
      <c r="B58" s="40" t="s">
        <v>67</v>
      </c>
      <c r="C58" s="41">
        <f>'[1]Свод '!$J$57/1000</f>
        <v>7420.7923418682676</v>
      </c>
      <c r="D58" s="41">
        <f t="shared" si="0"/>
        <v>400.72278646088643</v>
      </c>
      <c r="E58" s="41">
        <f t="shared" si="1"/>
        <v>233.75495876885043</v>
      </c>
      <c r="F58" s="41">
        <f t="shared" si="2"/>
        <v>148.41584683736536</v>
      </c>
      <c r="G58" s="42">
        <f>'[2]Свод '!$L$55</f>
        <v>120137.82812379798</v>
      </c>
      <c r="H58" s="42">
        <f t="shared" si="3"/>
        <v>6487.4427186850908</v>
      </c>
      <c r="I58" s="42">
        <f t="shared" si="4"/>
        <v>3784.3415858996368</v>
      </c>
      <c r="J58" s="28">
        <f t="shared" si="5"/>
        <v>3604.1348437139395</v>
      </c>
      <c r="K58" s="42">
        <f t="shared" si="6"/>
        <v>134013.74727209666</v>
      </c>
      <c r="L58" s="43">
        <v>5927</v>
      </c>
      <c r="M58" s="44">
        <f>370.1+13</f>
        <v>383.1</v>
      </c>
      <c r="N58" s="44">
        <f>432+13</f>
        <v>445</v>
      </c>
      <c r="O58" s="45">
        <v>161</v>
      </c>
      <c r="P58" s="46"/>
      <c r="Q58" s="47"/>
      <c r="R58" s="48">
        <v>210</v>
      </c>
      <c r="S58" s="48"/>
      <c r="T58" s="49">
        <f t="shared" si="8"/>
        <v>141139.84727209667</v>
      </c>
    </row>
    <row r="59" spans="1:20" s="34" customFormat="1" ht="15.75" hidden="1" customHeight="1">
      <c r="A59" s="51">
        <v>54</v>
      </c>
      <c r="B59" s="52" t="s">
        <v>68</v>
      </c>
      <c r="C59" s="27">
        <f>'[1]Свод '!$J$58/1000</f>
        <v>3217.4119115719004</v>
      </c>
      <c r="D59" s="27">
        <f t="shared" si="0"/>
        <v>173.74024322488262</v>
      </c>
      <c r="E59" s="27">
        <f t="shared" si="1"/>
        <v>101.34847521451488</v>
      </c>
      <c r="F59" s="27">
        <f t="shared" si="2"/>
        <v>64.348238231438003</v>
      </c>
      <c r="G59" s="28">
        <f>'[2]Свод '!$L$56</f>
        <v>41908.555514177329</v>
      </c>
      <c r="H59" s="28">
        <f t="shared" si="3"/>
        <v>2263.0619977655756</v>
      </c>
      <c r="I59" s="28">
        <f t="shared" si="4"/>
        <v>1320.1194986965859</v>
      </c>
      <c r="J59" s="28">
        <f t="shared" si="5"/>
        <v>1257.2566654253199</v>
      </c>
      <c r="K59" s="28">
        <f t="shared" si="6"/>
        <v>46748.993676064805</v>
      </c>
      <c r="L59" s="37">
        <v>519</v>
      </c>
      <c r="M59" s="38">
        <f>283+13</f>
        <v>296</v>
      </c>
      <c r="N59" s="38">
        <v>212</v>
      </c>
      <c r="O59" s="29"/>
      <c r="P59" s="30"/>
      <c r="Q59" s="31"/>
      <c r="R59" s="32">
        <v>180</v>
      </c>
      <c r="S59" s="32"/>
      <c r="T59" s="33">
        <f t="shared" si="8"/>
        <v>47955.993676064805</v>
      </c>
    </row>
    <row r="60" spans="1:20" s="34" customFormat="1" ht="15.75" hidden="1" customHeight="1">
      <c r="A60" s="67">
        <v>55</v>
      </c>
      <c r="B60" s="68" t="s">
        <v>69</v>
      </c>
      <c r="C60" s="69">
        <f>'[1]Свод '!$J$59/1000</f>
        <v>8821.5752963335181</v>
      </c>
      <c r="D60" s="27">
        <f t="shared" si="0"/>
        <v>476.36506600200994</v>
      </c>
      <c r="E60" s="27">
        <f t="shared" si="1"/>
        <v>277.87962183450583</v>
      </c>
      <c r="F60" s="27">
        <f t="shared" si="2"/>
        <v>176.43150592667035</v>
      </c>
      <c r="G60" s="28">
        <f>'[2]Свод '!$L$57</f>
        <v>153597.78096463013</v>
      </c>
      <c r="H60" s="28">
        <f t="shared" si="3"/>
        <v>8294.2801720900279</v>
      </c>
      <c r="I60" s="28">
        <f t="shared" si="4"/>
        <v>4838.3301003858496</v>
      </c>
      <c r="J60" s="28">
        <f t="shared" si="5"/>
        <v>4607.9334289389035</v>
      </c>
      <c r="K60" s="28">
        <f t="shared" si="6"/>
        <v>171338.32466604491</v>
      </c>
      <c r="L60" s="37">
        <v>4445</v>
      </c>
      <c r="M60" s="38">
        <f>1343+13</f>
        <v>1356</v>
      </c>
      <c r="N60" s="38">
        <f>880.2+13</f>
        <v>893.2</v>
      </c>
      <c r="O60" s="29">
        <v>200</v>
      </c>
      <c r="P60" s="30">
        <v>163</v>
      </c>
      <c r="Q60" s="31"/>
      <c r="R60" s="32">
        <v>250</v>
      </c>
      <c r="S60" s="32"/>
      <c r="T60" s="33">
        <f t="shared" si="8"/>
        <v>178645.52466604492</v>
      </c>
    </row>
    <row r="61" spans="1:20" s="34" customFormat="1" ht="15.75" hidden="1" customHeight="1">
      <c r="A61" s="51"/>
      <c r="B61" s="52"/>
      <c r="C61" s="27"/>
      <c r="D61" s="27"/>
      <c r="E61" s="27"/>
      <c r="F61" s="27"/>
      <c r="G61" s="28"/>
      <c r="H61" s="28"/>
      <c r="I61" s="28"/>
      <c r="J61" s="28">
        <f t="shared" si="5"/>
        <v>0</v>
      </c>
      <c r="K61" s="28"/>
      <c r="L61" s="37"/>
      <c r="M61" s="38"/>
      <c r="N61" s="38"/>
      <c r="O61" s="29"/>
      <c r="P61" s="30"/>
      <c r="Q61" s="31"/>
      <c r="R61" s="32"/>
      <c r="S61" s="32"/>
      <c r="T61" s="33"/>
    </row>
    <row r="62" spans="1:20" s="34" customFormat="1" ht="15.75" hidden="1" customHeight="1">
      <c r="A62" s="51">
        <v>57</v>
      </c>
      <c r="B62" s="52" t="s">
        <v>70</v>
      </c>
      <c r="C62" s="27">
        <f>'[1]Свод '!$J$68/1000</f>
        <v>1052.6529652704471</v>
      </c>
      <c r="D62" s="27">
        <f t="shared" si="0"/>
        <v>56.843260124604143</v>
      </c>
      <c r="E62" s="27">
        <f t="shared" si="1"/>
        <v>33.158568406019086</v>
      </c>
      <c r="F62" s="27">
        <f t="shared" si="2"/>
        <v>21.053059305408944</v>
      </c>
      <c r="G62" s="28">
        <f>'[2]Свод '!$L$64</f>
        <v>16326.866299694404</v>
      </c>
      <c r="H62" s="28">
        <f t="shared" si="3"/>
        <v>881.65078018349777</v>
      </c>
      <c r="I62" s="28">
        <f t="shared" si="4"/>
        <v>514.2962884403737</v>
      </c>
      <c r="J62" s="28">
        <f t="shared" si="5"/>
        <v>489.80598899083208</v>
      </c>
      <c r="K62" s="28">
        <f t="shared" si="6"/>
        <v>18212.619357309108</v>
      </c>
      <c r="L62" s="37">
        <v>519</v>
      </c>
      <c r="M62" s="38">
        <f>283+13</f>
        <v>296</v>
      </c>
      <c r="N62" s="38">
        <v>211</v>
      </c>
      <c r="O62" s="29">
        <v>0</v>
      </c>
      <c r="P62" s="30"/>
      <c r="Q62" s="31"/>
      <c r="R62" s="32">
        <v>50</v>
      </c>
      <c r="S62" s="32"/>
      <c r="T62" s="33">
        <f t="shared" ref="T62:T72" si="9">K62+L62+M62+N62+O62+Q62+P62+R62+S62</f>
        <v>19288.619357309108</v>
      </c>
    </row>
    <row r="63" spans="1:20" s="34" customFormat="1" ht="15.75" hidden="1" customHeight="1">
      <c r="A63" s="51">
        <v>58</v>
      </c>
      <c r="B63" s="68" t="s">
        <v>71</v>
      </c>
      <c r="C63" s="69">
        <f>'[1]Свод '!$J$61/1000</f>
        <v>1148.8544637297257</v>
      </c>
      <c r="D63" s="27">
        <f t="shared" si="0"/>
        <v>62.038141041405183</v>
      </c>
      <c r="E63" s="27">
        <f t="shared" si="1"/>
        <v>36.188915607486358</v>
      </c>
      <c r="F63" s="27">
        <f t="shared" si="2"/>
        <v>22.977089274594515</v>
      </c>
      <c r="G63" s="28">
        <f>'[2]Свод '!$L$59</f>
        <v>18553.081182644404</v>
      </c>
      <c r="H63" s="28">
        <f t="shared" si="3"/>
        <v>1001.8663838627976</v>
      </c>
      <c r="I63" s="28">
        <f t="shared" si="4"/>
        <v>584.4220572532987</v>
      </c>
      <c r="J63" s="28">
        <f t="shared" si="5"/>
        <v>556.59243547933215</v>
      </c>
      <c r="K63" s="28">
        <f t="shared" si="6"/>
        <v>20695.962059239831</v>
      </c>
      <c r="L63" s="37">
        <v>519</v>
      </c>
      <c r="M63" s="38">
        <f t="shared" ref="M63:M69" si="10">283+13</f>
        <v>296</v>
      </c>
      <c r="N63" s="38">
        <v>403.2</v>
      </c>
      <c r="O63" s="29">
        <v>0</v>
      </c>
      <c r="P63" s="30"/>
      <c r="Q63" s="31"/>
      <c r="R63" s="32">
        <v>50</v>
      </c>
      <c r="S63" s="32"/>
      <c r="T63" s="33">
        <f t="shared" si="9"/>
        <v>21964.162059239832</v>
      </c>
    </row>
    <row r="64" spans="1:20" s="34" customFormat="1" ht="15.75" hidden="1" customHeight="1">
      <c r="A64" s="51">
        <v>59</v>
      </c>
      <c r="B64" s="68" t="s">
        <v>72</v>
      </c>
      <c r="C64" s="69">
        <f>'[1]Свод '!$J$63/1000</f>
        <v>1032.8425298943091</v>
      </c>
      <c r="D64" s="27">
        <f t="shared" si="0"/>
        <v>55.773496614292689</v>
      </c>
      <c r="E64" s="27">
        <f t="shared" si="1"/>
        <v>32.534539691670737</v>
      </c>
      <c r="F64" s="27">
        <f t="shared" si="2"/>
        <v>20.656850597886184</v>
      </c>
      <c r="G64" s="28">
        <f>'[2]Свод '!$L$61</f>
        <v>16356.151792244405</v>
      </c>
      <c r="H64" s="28">
        <f t="shared" si="3"/>
        <v>883.2321967811979</v>
      </c>
      <c r="I64" s="28">
        <f t="shared" si="4"/>
        <v>515.21878145569883</v>
      </c>
      <c r="J64" s="28">
        <f t="shared" si="5"/>
        <v>490.68455376733215</v>
      </c>
      <c r="K64" s="28">
        <f t="shared" si="6"/>
        <v>18245.287324248635</v>
      </c>
      <c r="L64" s="37">
        <v>519</v>
      </c>
      <c r="M64" s="38">
        <f t="shared" si="10"/>
        <v>296</v>
      </c>
      <c r="N64" s="38">
        <v>132</v>
      </c>
      <c r="O64" s="29">
        <v>0</v>
      </c>
      <c r="P64" s="30"/>
      <c r="Q64" s="31"/>
      <c r="R64" s="32">
        <v>50</v>
      </c>
      <c r="S64" s="32"/>
      <c r="T64" s="33">
        <f t="shared" si="9"/>
        <v>19242.287324248635</v>
      </c>
    </row>
    <row r="65" spans="1:20" s="34" customFormat="1" ht="15.75" hidden="1" customHeight="1">
      <c r="A65" s="51">
        <v>60</v>
      </c>
      <c r="B65" s="52" t="s">
        <v>73</v>
      </c>
      <c r="C65" s="27">
        <f>'[1]Свод '!$J$62/1000</f>
        <v>1161.6303581651423</v>
      </c>
      <c r="D65" s="27">
        <f t="shared" si="0"/>
        <v>62.72803934091769</v>
      </c>
      <c r="E65" s="27">
        <f t="shared" si="1"/>
        <v>36.591356282201986</v>
      </c>
      <c r="F65" s="27">
        <f t="shared" si="2"/>
        <v>23.232607163302845</v>
      </c>
      <c r="G65" s="28">
        <f>'[2]Свод '!$L$60</f>
        <v>29680.38904054806</v>
      </c>
      <c r="H65" s="28">
        <f t="shared" si="3"/>
        <v>1602.741008189595</v>
      </c>
      <c r="I65" s="28">
        <f t="shared" si="4"/>
        <v>934.93225477726389</v>
      </c>
      <c r="J65" s="28">
        <f t="shared" si="5"/>
        <v>890.41167121644173</v>
      </c>
      <c r="K65" s="28">
        <f t="shared" si="6"/>
        <v>33108.473974731358</v>
      </c>
      <c r="L65" s="37">
        <v>2222</v>
      </c>
      <c r="M65" s="38">
        <f t="shared" si="10"/>
        <v>296</v>
      </c>
      <c r="N65" s="38">
        <f>359.8+13</f>
        <v>372.8</v>
      </c>
      <c r="O65" s="29">
        <v>0</v>
      </c>
      <c r="P65" s="30"/>
      <c r="Q65" s="31"/>
      <c r="R65" s="32">
        <v>50</v>
      </c>
      <c r="S65" s="32"/>
      <c r="T65" s="33">
        <f t="shared" si="9"/>
        <v>36049.273974731361</v>
      </c>
    </row>
    <row r="66" spans="1:20" s="34" customFormat="1" ht="15.75" hidden="1" customHeight="1">
      <c r="A66" s="51">
        <v>61</v>
      </c>
      <c r="B66" s="68" t="s">
        <v>74</v>
      </c>
      <c r="C66" s="69">
        <f>'[1]Свод '!$J$67/1000</f>
        <v>1292.3081337484759</v>
      </c>
      <c r="D66" s="27">
        <f t="shared" si="0"/>
        <v>69.784639222417695</v>
      </c>
      <c r="E66" s="27">
        <f t="shared" si="1"/>
        <v>40.707706213076996</v>
      </c>
      <c r="F66" s="27">
        <f t="shared" si="2"/>
        <v>25.84616267496952</v>
      </c>
      <c r="G66" s="28">
        <f>'[2]Свод '!$L$67</f>
        <v>19124.446075308784</v>
      </c>
      <c r="H66" s="28">
        <f t="shared" si="3"/>
        <v>1032.7200880666744</v>
      </c>
      <c r="I66" s="28">
        <f t="shared" si="4"/>
        <v>602.42005137222679</v>
      </c>
      <c r="J66" s="28">
        <f t="shared" si="5"/>
        <v>573.73338225926352</v>
      </c>
      <c r="K66" s="28">
        <f t="shared" si="6"/>
        <v>21333.31959700695</v>
      </c>
      <c r="L66" s="37">
        <v>519</v>
      </c>
      <c r="M66" s="38">
        <f t="shared" si="10"/>
        <v>296</v>
      </c>
      <c r="N66" s="38">
        <f>131+13</f>
        <v>144</v>
      </c>
      <c r="O66" s="29">
        <v>0</v>
      </c>
      <c r="P66" s="30"/>
      <c r="Q66" s="31"/>
      <c r="R66" s="32">
        <v>50</v>
      </c>
      <c r="S66" s="32"/>
      <c r="T66" s="33">
        <f t="shared" si="9"/>
        <v>22342.31959700695</v>
      </c>
    </row>
    <row r="67" spans="1:20" s="34" customFormat="1" ht="15.75" hidden="1" customHeight="1">
      <c r="A67" s="51">
        <v>62</v>
      </c>
      <c r="B67" s="52" t="s">
        <v>75</v>
      </c>
      <c r="C67" s="27">
        <f>'[1]Свод '!$J$64/1000</f>
        <v>869.21372860378051</v>
      </c>
      <c r="D67" s="27">
        <f t="shared" si="0"/>
        <v>46.937541344604149</v>
      </c>
      <c r="E67" s="27">
        <f t="shared" si="1"/>
        <v>27.38023245101909</v>
      </c>
      <c r="F67" s="27">
        <f t="shared" si="2"/>
        <v>17.384274572075611</v>
      </c>
      <c r="G67" s="28">
        <f>'[2]Свод '!$L$62</f>
        <v>14193.410299694404</v>
      </c>
      <c r="H67" s="28">
        <f t="shared" si="3"/>
        <v>766.44415618349774</v>
      </c>
      <c r="I67" s="28">
        <f t="shared" si="4"/>
        <v>447.09242444037375</v>
      </c>
      <c r="J67" s="28">
        <f t="shared" si="5"/>
        <v>425.8023089908321</v>
      </c>
      <c r="K67" s="28">
        <f t="shared" si="6"/>
        <v>15832.749189309108</v>
      </c>
      <c r="L67" s="37">
        <v>519</v>
      </c>
      <c r="M67" s="38">
        <f t="shared" si="10"/>
        <v>296</v>
      </c>
      <c r="N67" s="38">
        <v>211</v>
      </c>
      <c r="O67" s="29">
        <v>0</v>
      </c>
      <c r="P67" s="30"/>
      <c r="Q67" s="31"/>
      <c r="R67" s="32">
        <v>50</v>
      </c>
      <c r="S67" s="32"/>
      <c r="T67" s="33">
        <f t="shared" si="9"/>
        <v>16908.749189309106</v>
      </c>
    </row>
    <row r="68" spans="1:20" s="34" customFormat="1" ht="15.75" hidden="1" customHeight="1">
      <c r="A68" s="51">
        <v>63</v>
      </c>
      <c r="B68" s="68" t="s">
        <v>76</v>
      </c>
      <c r="C68" s="69">
        <f>'[1]Свод '!$J$65/1000</f>
        <v>1154.8102987829473</v>
      </c>
      <c r="D68" s="27">
        <f t="shared" si="0"/>
        <v>62.359756134279145</v>
      </c>
      <c r="E68" s="27">
        <f t="shared" si="1"/>
        <v>36.376524411662842</v>
      </c>
      <c r="F68" s="27">
        <f t="shared" si="2"/>
        <v>23.096205975658947</v>
      </c>
      <c r="G68" s="28">
        <f>'[2]Свод '!$L$63</f>
        <v>18853.246660994402</v>
      </c>
      <c r="H68" s="28">
        <f t="shared" si="3"/>
        <v>1018.0753196936977</v>
      </c>
      <c r="I68" s="28">
        <f t="shared" si="4"/>
        <v>593.87726982132369</v>
      </c>
      <c r="J68" s="28">
        <f t="shared" si="5"/>
        <v>565.59739982983206</v>
      </c>
      <c r="K68" s="28">
        <f t="shared" si="6"/>
        <v>21030.796650339256</v>
      </c>
      <c r="L68" s="37">
        <v>519</v>
      </c>
      <c r="M68" s="38">
        <f t="shared" si="10"/>
        <v>296</v>
      </c>
      <c r="N68" s="38">
        <v>211</v>
      </c>
      <c r="O68" s="29">
        <v>0</v>
      </c>
      <c r="P68" s="30"/>
      <c r="Q68" s="31"/>
      <c r="R68" s="32">
        <v>50</v>
      </c>
      <c r="S68" s="32"/>
      <c r="T68" s="33">
        <f t="shared" si="9"/>
        <v>22106.796650339256</v>
      </c>
    </row>
    <row r="69" spans="1:20" s="34" customFormat="1" ht="15.75" hidden="1" customHeight="1">
      <c r="A69" s="51">
        <v>64</v>
      </c>
      <c r="B69" s="52" t="s">
        <v>77</v>
      </c>
      <c r="C69" s="27">
        <f>'[1]Свод '!$J$60/1000</f>
        <v>1565.6191166996141</v>
      </c>
      <c r="D69" s="27">
        <f t="shared" si="0"/>
        <v>84.543432301779163</v>
      </c>
      <c r="E69" s="27">
        <f t="shared" si="1"/>
        <v>49.317002176037853</v>
      </c>
      <c r="F69" s="27">
        <f t="shared" si="2"/>
        <v>31.312382333992282</v>
      </c>
      <c r="G69" s="28">
        <f>'[2]Свод '!$L$58</f>
        <v>24740.324184656172</v>
      </c>
      <c r="H69" s="28">
        <f t="shared" si="3"/>
        <v>1335.9775059714334</v>
      </c>
      <c r="I69" s="28">
        <f t="shared" si="4"/>
        <v>779.32021181666948</v>
      </c>
      <c r="J69" s="28">
        <f t="shared" si="5"/>
        <v>742.20972553968511</v>
      </c>
      <c r="K69" s="28">
        <f t="shared" si="6"/>
        <v>27597.83162798396</v>
      </c>
      <c r="L69" s="37">
        <v>3333</v>
      </c>
      <c r="M69" s="38">
        <f t="shared" si="10"/>
        <v>296</v>
      </c>
      <c r="N69" s="38">
        <f>209+13+208</f>
        <v>430</v>
      </c>
      <c r="O69" s="29">
        <v>161</v>
      </c>
      <c r="P69" s="30"/>
      <c r="Q69" s="31"/>
      <c r="R69" s="32">
        <v>50</v>
      </c>
      <c r="S69" s="32"/>
      <c r="T69" s="33">
        <f t="shared" si="9"/>
        <v>31867.83162798396</v>
      </c>
    </row>
    <row r="70" spans="1:20" s="34" customFormat="1" ht="15.75" hidden="1" customHeight="1">
      <c r="A70" s="51"/>
      <c r="B70" s="52" t="s">
        <v>78</v>
      </c>
      <c r="C70" s="27">
        <f>'[1]Свод '!$I$77/1000</f>
        <v>5328.1502674687508</v>
      </c>
      <c r="D70" s="27">
        <f t="shared" si="0"/>
        <v>287.72011444331253</v>
      </c>
      <c r="E70" s="27">
        <f t="shared" si="1"/>
        <v>167.83673342526566</v>
      </c>
      <c r="F70" s="27">
        <f t="shared" si="2"/>
        <v>106.56300534937502</v>
      </c>
      <c r="G70" s="28">
        <f>36561+58864</f>
        <v>95425</v>
      </c>
      <c r="H70" s="28">
        <f>(G70-G70*10%)*6%</f>
        <v>5152.95</v>
      </c>
      <c r="I70" s="28">
        <f>(G70-G70*10%)*3.5%</f>
        <v>3005.8875000000003</v>
      </c>
      <c r="J70" s="28">
        <f t="shared" si="5"/>
        <v>2862.75</v>
      </c>
      <c r="K70" s="28">
        <f>G70+H70+I70+J70</f>
        <v>106446.58749999999</v>
      </c>
      <c r="L70" s="37"/>
      <c r="M70" s="38">
        <v>2100</v>
      </c>
      <c r="N70" s="38">
        <v>3814</v>
      </c>
      <c r="O70" s="29">
        <v>0</v>
      </c>
      <c r="P70" s="30">
        <v>845</v>
      </c>
      <c r="Q70" s="31"/>
      <c r="R70" s="32">
        <v>200</v>
      </c>
      <c r="S70" s="32"/>
      <c r="T70" s="33">
        <f t="shared" si="9"/>
        <v>113405.58749999999</v>
      </c>
    </row>
    <row r="71" spans="1:20" s="34" customFormat="1" ht="15.75" hidden="1" customHeight="1">
      <c r="A71" s="51"/>
      <c r="B71" s="52" t="s">
        <v>79</v>
      </c>
      <c r="C71" s="27">
        <f>'[1]Свод '!$J$69/1000</f>
        <v>4058.4899515520833</v>
      </c>
      <c r="D71" s="27">
        <f t="shared" si="0"/>
        <v>219.1584573838125</v>
      </c>
      <c r="E71" s="27">
        <f t="shared" si="1"/>
        <v>127.84243347389064</v>
      </c>
      <c r="F71" s="27">
        <f t="shared" si="2"/>
        <v>81.169799031041663</v>
      </c>
      <c r="G71" s="28">
        <f>'[2]Свод '!$L$68</f>
        <v>75216.345613500001</v>
      </c>
      <c r="H71" s="28">
        <f>(G71-G71*10%)*6%</f>
        <v>4061.682663129</v>
      </c>
      <c r="I71" s="28">
        <f>(G71-G71*10%)*3.5%</f>
        <v>2369.3148868252501</v>
      </c>
      <c r="J71" s="28">
        <f t="shared" si="5"/>
        <v>2256.490368405</v>
      </c>
      <c r="K71" s="28">
        <f>G71+H71+I71+J71</f>
        <v>83903.833531859244</v>
      </c>
      <c r="L71" s="37"/>
      <c r="M71" s="38"/>
      <c r="N71" s="38"/>
      <c r="O71" s="29">
        <v>0</v>
      </c>
      <c r="P71" s="30"/>
      <c r="Q71" s="31"/>
      <c r="R71" s="32"/>
      <c r="S71" s="32"/>
      <c r="T71" s="33">
        <f t="shared" si="9"/>
        <v>83903.833531859244</v>
      </c>
    </row>
    <row r="72" spans="1:20" s="74" customFormat="1" ht="15.75" hidden="1">
      <c r="A72" s="70"/>
      <c r="B72" s="71" t="s">
        <v>80</v>
      </c>
      <c r="C72" s="72">
        <f>SUM(C8:C71)</f>
        <v>424195.20585455222</v>
      </c>
      <c r="D72" s="27">
        <f>(C72-C72*10%)*6%</f>
        <v>22906.541116145818</v>
      </c>
      <c r="E72" s="27">
        <f>(C72-C72*10%)*3.5%</f>
        <v>13362.148984418396</v>
      </c>
      <c r="F72" s="27">
        <f>C72*2%</f>
        <v>8483.9041170910441</v>
      </c>
      <c r="G72" s="73">
        <f>SUM(G8:G71)</f>
        <v>7220778.6527577182</v>
      </c>
      <c r="H72" s="73">
        <f>SUM(H8:H71)</f>
        <v>389922.04724891676</v>
      </c>
      <c r="I72" s="73">
        <f>SUM(I8:I71)</f>
        <v>227454.52756186828</v>
      </c>
      <c r="J72" s="73">
        <f>SUM(J8:J71)</f>
        <v>216623.35958273162</v>
      </c>
      <c r="K72" s="28">
        <f>G72+H72+I72+J72</f>
        <v>8054778.587151235</v>
      </c>
      <c r="L72" s="73">
        <f>SUM(L8:L71)</f>
        <v>255515</v>
      </c>
      <c r="M72" s="73">
        <f>SUM(M8:M71)</f>
        <v>40669.5</v>
      </c>
      <c r="N72" s="73">
        <f>SUM(N8:N71)</f>
        <v>40418.240000000005</v>
      </c>
      <c r="O72" s="73">
        <f>SUM(O8:O71)</f>
        <v>7675</v>
      </c>
      <c r="P72" s="73">
        <f>SUM(P8:P71)</f>
        <v>14105.8</v>
      </c>
      <c r="Q72" s="73"/>
      <c r="R72" s="73">
        <f t="shared" ref="R72" si="11">SUM(R8:R71)</f>
        <v>12011</v>
      </c>
      <c r="S72" s="73"/>
      <c r="T72" s="33">
        <f t="shared" si="9"/>
        <v>8425173.1271512359</v>
      </c>
    </row>
    <row r="73" spans="1:20" s="34" customFormat="1" ht="15.75" hidden="1">
      <c r="A73" s="75"/>
      <c r="B73" s="75"/>
      <c r="C73" s="76"/>
      <c r="D73" s="76"/>
      <c r="E73" s="76"/>
      <c r="F73" s="76"/>
      <c r="G73" s="77"/>
      <c r="H73" s="77"/>
      <c r="I73" s="77"/>
      <c r="J73" s="77"/>
      <c r="K73" s="77"/>
      <c r="L73" s="78"/>
      <c r="M73" s="78"/>
      <c r="N73" s="79"/>
      <c r="O73" s="80"/>
      <c r="P73" s="79"/>
      <c r="Q73" s="79"/>
      <c r="R73" s="79"/>
      <c r="S73" s="79"/>
      <c r="T73" s="81" t="s">
        <v>81</v>
      </c>
    </row>
    <row r="74" spans="1:20" ht="18.75" hidden="1">
      <c r="A74" s="82"/>
      <c r="B74" s="83" t="s">
        <v>82</v>
      </c>
      <c r="C74" s="84"/>
      <c r="D74" s="84"/>
      <c r="E74" s="84"/>
      <c r="F74" s="84"/>
      <c r="G74" s="85"/>
      <c r="H74" s="85"/>
      <c r="I74" s="85" t="s">
        <v>83</v>
      </c>
      <c r="J74" s="85"/>
      <c r="K74" s="77"/>
      <c r="L74" s="77"/>
      <c r="M74" s="86"/>
      <c r="N74" s="79"/>
      <c r="O74" s="79"/>
      <c r="P74" s="79"/>
      <c r="Q74" s="79"/>
      <c r="R74" s="79"/>
      <c r="S74" s="79"/>
      <c r="T74" s="81"/>
    </row>
    <row r="75" spans="1:20" ht="18.75" hidden="1">
      <c r="A75" s="82"/>
      <c r="B75" s="82"/>
      <c r="C75" s="87"/>
      <c r="D75" s="87"/>
      <c r="E75" s="87"/>
      <c r="F75" s="87"/>
      <c r="G75" s="88"/>
      <c r="H75" s="88"/>
      <c r="I75" s="88"/>
      <c r="J75" s="88"/>
      <c r="K75" s="77"/>
      <c r="L75" s="77"/>
      <c r="M75" s="89"/>
      <c r="N75" s="77"/>
      <c r="O75" s="79"/>
      <c r="P75" s="79"/>
      <c r="Q75" s="79"/>
      <c r="R75" s="79"/>
      <c r="S75" s="79"/>
      <c r="T75" s="81"/>
    </row>
    <row r="76" spans="1:20" ht="15.75" hidden="1">
      <c r="A76" s="90"/>
      <c r="B76" s="91"/>
      <c r="C76" s="92"/>
      <c r="D76" s="92"/>
      <c r="E76" s="92"/>
      <c r="F76" s="92"/>
      <c r="G76" s="93"/>
      <c r="H76" s="93"/>
      <c r="I76" s="93"/>
      <c r="J76" s="93"/>
      <c r="K76" s="93"/>
      <c r="L76" s="93"/>
      <c r="M76" s="86"/>
      <c r="N76" s="79"/>
      <c r="O76" s="79"/>
      <c r="P76" s="79"/>
      <c r="Q76" s="79"/>
      <c r="R76" s="79"/>
      <c r="S76" s="79"/>
      <c r="T76" s="81"/>
    </row>
    <row r="77" spans="1:20" ht="15.75" hidden="1">
      <c r="A77" s="90"/>
      <c r="B77" s="91"/>
      <c r="C77" s="92"/>
      <c r="D77" s="92"/>
      <c r="E77" s="92"/>
      <c r="F77" s="92"/>
      <c r="G77" s="93"/>
      <c r="H77" s="93"/>
      <c r="I77" s="93"/>
      <c r="J77" s="93"/>
      <c r="K77" s="93"/>
      <c r="L77" s="93"/>
      <c r="M77" s="89"/>
      <c r="N77" s="79"/>
      <c r="O77" s="79"/>
      <c r="P77" s="79"/>
      <c r="Q77" s="79"/>
      <c r="R77" s="79"/>
      <c r="S77" s="79"/>
      <c r="T77" s="81"/>
    </row>
    <row r="78" spans="1:20" ht="15.75" hidden="1">
      <c r="A78" s="90"/>
      <c r="B78" s="90"/>
      <c r="C78" s="94"/>
      <c r="D78" s="94"/>
      <c r="E78" s="94"/>
      <c r="F78" s="94"/>
      <c r="G78" s="77"/>
      <c r="H78" s="77"/>
      <c r="I78" s="77"/>
      <c r="J78" s="77"/>
      <c r="K78" s="77"/>
      <c r="L78" s="77"/>
      <c r="M78" s="86"/>
      <c r="N78" s="79"/>
      <c r="O78" s="79"/>
      <c r="P78" s="79"/>
      <c r="Q78" s="79"/>
      <c r="R78" s="79"/>
      <c r="S78" s="79"/>
      <c r="T78" s="81"/>
    </row>
    <row r="79" spans="1:20" hidden="1">
      <c r="M79" s="97"/>
    </row>
    <row r="80" spans="1:20" hidden="1">
      <c r="M80" s="97"/>
    </row>
  </sheetData>
  <autoFilter ref="B1:B80">
    <filterColumn colId="0">
      <filters>
        <filter val="Игликская казахская средняя школа"/>
      </filters>
    </filterColumn>
  </autoFilter>
  <mergeCells count="14">
    <mergeCell ref="R3:R7"/>
    <mergeCell ref="S3:S7"/>
    <mergeCell ref="T3:T7"/>
    <mergeCell ref="B4:I4"/>
    <mergeCell ref="D6:F6"/>
    <mergeCell ref="H6:J6"/>
    <mergeCell ref="L6:O6"/>
    <mergeCell ref="P6:P7"/>
    <mergeCell ref="Q3:Q7"/>
    <mergeCell ref="B1:J1"/>
    <mergeCell ref="B2:O2"/>
    <mergeCell ref="H3:J3"/>
    <mergeCell ref="K3:K7"/>
    <mergeCell ref="L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2023-12-05T04:04:46Z</dcterms:modified>
</cp:coreProperties>
</file>