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Лист1!$A$3:$X$74</definedName>
  </definedNames>
  <calcPr calcId="124519"/>
</workbook>
</file>

<file path=xl/calcChain.xml><?xml version="1.0" encoding="utf-8"?>
<calcChain xmlns="http://schemas.openxmlformats.org/spreadsheetml/2006/main">
  <c r="N72" i="1"/>
  <c r="W72"/>
  <c r="V72"/>
  <c r="T72"/>
  <c r="R72"/>
  <c r="S72" s="1"/>
  <c r="O72"/>
  <c r="S71"/>
  <c r="N71"/>
  <c r="M71"/>
  <c r="C71"/>
  <c r="U70"/>
  <c r="S70"/>
  <c r="Q70"/>
  <c r="P70"/>
  <c r="N70"/>
  <c r="M70"/>
  <c r="C70"/>
  <c r="U69"/>
  <c r="S69"/>
  <c r="Q69"/>
  <c r="P69"/>
  <c r="N69"/>
  <c r="L69"/>
  <c r="M69" s="1"/>
  <c r="E69"/>
  <c r="D69"/>
  <c r="C69"/>
  <c r="F69" s="1"/>
  <c r="U68"/>
  <c r="S68"/>
  <c r="Q68"/>
  <c r="P68"/>
  <c r="N68"/>
  <c r="M68"/>
  <c r="L68"/>
  <c r="C68"/>
  <c r="D68" s="1"/>
  <c r="U67"/>
  <c r="S67"/>
  <c r="Q67"/>
  <c r="P67"/>
  <c r="N67"/>
  <c r="L67"/>
  <c r="M67" s="1"/>
  <c r="C67"/>
  <c r="U66"/>
  <c r="S66"/>
  <c r="Q66"/>
  <c r="P66"/>
  <c r="N66"/>
  <c r="L66"/>
  <c r="M66" s="1"/>
  <c r="C66"/>
  <c r="U65"/>
  <c r="S65"/>
  <c r="Q65"/>
  <c r="P65"/>
  <c r="N65"/>
  <c r="M65"/>
  <c r="C65"/>
  <c r="U64"/>
  <c r="S64"/>
  <c r="Q64"/>
  <c r="P64"/>
  <c r="N64"/>
  <c r="L64"/>
  <c r="M64" s="1"/>
  <c r="F64"/>
  <c r="C64"/>
  <c r="U63"/>
  <c r="S63"/>
  <c r="Q63"/>
  <c r="P63"/>
  <c r="N63"/>
  <c r="L63"/>
  <c r="M63" s="1"/>
  <c r="F63"/>
  <c r="E63"/>
  <c r="C63"/>
  <c r="D63" s="1"/>
  <c r="U62"/>
  <c r="S62"/>
  <c r="Q62"/>
  <c r="P62"/>
  <c r="N62"/>
  <c r="L62"/>
  <c r="M62" s="1"/>
  <c r="C62"/>
  <c r="U61"/>
  <c r="S61"/>
  <c r="Q61"/>
  <c r="P61"/>
  <c r="N61"/>
  <c r="L61"/>
  <c r="M61" s="1"/>
  <c r="C61"/>
  <c r="U60"/>
  <c r="S60"/>
  <c r="Q60"/>
  <c r="P60"/>
  <c r="N60"/>
  <c r="M60"/>
  <c r="C60"/>
  <c r="U59"/>
  <c r="S59"/>
  <c r="Q59"/>
  <c r="P59"/>
  <c r="N59"/>
  <c r="M59"/>
  <c r="C59"/>
  <c r="G59" s="1"/>
  <c r="U58"/>
  <c r="S58"/>
  <c r="Q58"/>
  <c r="P58"/>
  <c r="N58"/>
  <c r="M58"/>
  <c r="L58"/>
  <c r="E58"/>
  <c r="D58"/>
  <c r="C58"/>
  <c r="F58" s="1"/>
  <c r="U57"/>
  <c r="S57"/>
  <c r="Q57"/>
  <c r="P57"/>
  <c r="N57"/>
  <c r="L57"/>
  <c r="M57" s="1"/>
  <c r="C57"/>
  <c r="D57" s="1"/>
  <c r="U56"/>
  <c r="S56"/>
  <c r="Q56"/>
  <c r="P56"/>
  <c r="N56"/>
  <c r="L56"/>
  <c r="M56" s="1"/>
  <c r="C56"/>
  <c r="U55"/>
  <c r="S55"/>
  <c r="Q55"/>
  <c r="P55"/>
  <c r="N55"/>
  <c r="L55"/>
  <c r="M55" s="1"/>
  <c r="C55"/>
  <c r="U54"/>
  <c r="S54"/>
  <c r="Q54"/>
  <c r="P54"/>
  <c r="N54"/>
  <c r="L54"/>
  <c r="M54" s="1"/>
  <c r="F54"/>
  <c r="C54"/>
  <c r="U53"/>
  <c r="S53"/>
  <c r="Q53"/>
  <c r="P53"/>
  <c r="N53"/>
  <c r="L53"/>
  <c r="M53" s="1"/>
  <c r="F53"/>
  <c r="E53"/>
  <c r="C53"/>
  <c r="D53" s="1"/>
  <c r="U52"/>
  <c r="S52"/>
  <c r="Q52"/>
  <c r="P52"/>
  <c r="N52"/>
  <c r="M52"/>
  <c r="F52"/>
  <c r="C52"/>
  <c r="D52" s="1"/>
  <c r="U51"/>
  <c r="S51"/>
  <c r="Q51"/>
  <c r="P51"/>
  <c r="N51"/>
  <c r="L51"/>
  <c r="M51" s="1"/>
  <c r="C51"/>
  <c r="U50"/>
  <c r="S50"/>
  <c r="Q50"/>
  <c r="P50"/>
  <c r="N50"/>
  <c r="L50"/>
  <c r="M50" s="1"/>
  <c r="C50"/>
  <c r="U49"/>
  <c r="S49"/>
  <c r="Q49"/>
  <c r="P49"/>
  <c r="N49"/>
  <c r="M49"/>
  <c r="C49"/>
  <c r="U48"/>
  <c r="S48"/>
  <c r="Q48"/>
  <c r="P48"/>
  <c r="N48"/>
  <c r="M48"/>
  <c r="C48"/>
  <c r="G48" s="1"/>
  <c r="U47"/>
  <c r="S47"/>
  <c r="Q47"/>
  <c r="P47"/>
  <c r="N47"/>
  <c r="M47"/>
  <c r="C47"/>
  <c r="G47" s="1"/>
  <c r="U46"/>
  <c r="S46"/>
  <c r="Q46"/>
  <c r="P46"/>
  <c r="N46"/>
  <c r="M46"/>
  <c r="C46"/>
  <c r="U45"/>
  <c r="S45"/>
  <c r="Q45"/>
  <c r="P45"/>
  <c r="N45"/>
  <c r="M45"/>
  <c r="C45"/>
  <c r="U44"/>
  <c r="S44"/>
  <c r="Q44"/>
  <c r="P44"/>
  <c r="N44"/>
  <c r="M44"/>
  <c r="C44"/>
  <c r="G44" s="1"/>
  <c r="U43"/>
  <c r="S43"/>
  <c r="Q43"/>
  <c r="P43"/>
  <c r="N43"/>
  <c r="M43"/>
  <c r="C43"/>
  <c r="F43" s="1"/>
  <c r="U42"/>
  <c r="S42"/>
  <c r="Q42"/>
  <c r="P42"/>
  <c r="N42"/>
  <c r="M42"/>
  <c r="C42"/>
  <c r="G42" s="1"/>
  <c r="U41"/>
  <c r="S41"/>
  <c r="Q41"/>
  <c r="P41"/>
  <c r="N41"/>
  <c r="M41"/>
  <c r="E41"/>
  <c r="C41"/>
  <c r="F41" s="1"/>
  <c r="U40"/>
  <c r="S40"/>
  <c r="Q40"/>
  <c r="P40"/>
  <c r="N40"/>
  <c r="M40"/>
  <c r="C40"/>
  <c r="D40" s="1"/>
  <c r="U39"/>
  <c r="S39"/>
  <c r="Q39"/>
  <c r="P39"/>
  <c r="N39"/>
  <c r="M39"/>
  <c r="E39"/>
  <c r="C39"/>
  <c r="D39" s="1"/>
  <c r="U38"/>
  <c r="S38"/>
  <c r="Q38"/>
  <c r="P38"/>
  <c r="N38"/>
  <c r="M38"/>
  <c r="C38"/>
  <c r="E38" s="1"/>
  <c r="U37"/>
  <c r="S37"/>
  <c r="Q37"/>
  <c r="P37"/>
  <c r="N37"/>
  <c r="M37"/>
  <c r="C37"/>
  <c r="E37" s="1"/>
  <c r="U36"/>
  <c r="S36"/>
  <c r="Q36"/>
  <c r="P36"/>
  <c r="N36"/>
  <c r="M36"/>
  <c r="D36"/>
  <c r="C36"/>
  <c r="E36" s="1"/>
  <c r="U35"/>
  <c r="S35"/>
  <c r="Q35"/>
  <c r="P35"/>
  <c r="N35"/>
  <c r="L35"/>
  <c r="M35" s="1"/>
  <c r="C35"/>
  <c r="U34"/>
  <c r="S34"/>
  <c r="Q34"/>
  <c r="P34"/>
  <c r="N34"/>
  <c r="L34"/>
  <c r="M34" s="1"/>
  <c r="J34"/>
  <c r="G34"/>
  <c r="I34" s="1"/>
  <c r="F34"/>
  <c r="E34"/>
  <c r="D34"/>
  <c r="U33"/>
  <c r="S33"/>
  <c r="Q33"/>
  <c r="P33"/>
  <c r="N33"/>
  <c r="L33"/>
  <c r="M33" s="1"/>
  <c r="C33"/>
  <c r="E33" s="1"/>
  <c r="U32"/>
  <c r="S32"/>
  <c r="Q32"/>
  <c r="P32"/>
  <c r="N32"/>
  <c r="L32"/>
  <c r="M32" s="1"/>
  <c r="C32"/>
  <c r="G32" s="1"/>
  <c r="U31"/>
  <c r="S31"/>
  <c r="Q31"/>
  <c r="P31"/>
  <c r="N31"/>
  <c r="L31"/>
  <c r="M31" s="1"/>
  <c r="D31"/>
  <c r="C31"/>
  <c r="E31" s="1"/>
  <c r="U30"/>
  <c r="S30"/>
  <c r="Q30"/>
  <c r="P30"/>
  <c r="N30"/>
  <c r="L30"/>
  <c r="M30" s="1"/>
  <c r="C30"/>
  <c r="E30" s="1"/>
  <c r="U29"/>
  <c r="S29"/>
  <c r="Q29"/>
  <c r="P29"/>
  <c r="N29"/>
  <c r="M29"/>
  <c r="L29"/>
  <c r="F29"/>
  <c r="C29"/>
  <c r="E29" s="1"/>
  <c r="U28"/>
  <c r="S28"/>
  <c r="Q28"/>
  <c r="P28"/>
  <c r="N28"/>
  <c r="L28"/>
  <c r="M28" s="1"/>
  <c r="C28"/>
  <c r="U27"/>
  <c r="S27"/>
  <c r="Q27"/>
  <c r="P27"/>
  <c r="N27"/>
  <c r="L27"/>
  <c r="M27" s="1"/>
  <c r="D27"/>
  <c r="C27"/>
  <c r="E27" s="1"/>
  <c r="U26"/>
  <c r="S26"/>
  <c r="Q26"/>
  <c r="P26"/>
  <c r="N26"/>
  <c r="L26"/>
  <c r="M26" s="1"/>
  <c r="C26"/>
  <c r="F26" s="1"/>
  <c r="U25"/>
  <c r="S25"/>
  <c r="Q25"/>
  <c r="P25"/>
  <c r="N25"/>
  <c r="M25"/>
  <c r="L25"/>
  <c r="F25"/>
  <c r="C25"/>
  <c r="E25" s="1"/>
  <c r="U24"/>
  <c r="S24"/>
  <c r="Q24"/>
  <c r="P24"/>
  <c r="N24"/>
  <c r="L24"/>
  <c r="M24" s="1"/>
  <c r="G24"/>
  <c r="C24"/>
  <c r="U23"/>
  <c r="S23"/>
  <c r="Q23"/>
  <c r="P23"/>
  <c r="N23"/>
  <c r="L23"/>
  <c r="M23" s="1"/>
  <c r="E23"/>
  <c r="C23"/>
  <c r="D23" s="1"/>
  <c r="U22"/>
  <c r="S22"/>
  <c r="Q22"/>
  <c r="P22"/>
  <c r="N22"/>
  <c r="M22"/>
  <c r="L22"/>
  <c r="D22"/>
  <c r="C22"/>
  <c r="F22" s="1"/>
  <c r="U21"/>
  <c r="S21"/>
  <c r="Q21"/>
  <c r="P21"/>
  <c r="N21"/>
  <c r="L21"/>
  <c r="M21" s="1"/>
  <c r="C21"/>
  <c r="E21" s="1"/>
  <c r="U20"/>
  <c r="S20"/>
  <c r="Q20"/>
  <c r="P20"/>
  <c r="N20"/>
  <c r="L20"/>
  <c r="M20" s="1"/>
  <c r="G20"/>
  <c r="D20"/>
  <c r="C20"/>
  <c r="U19"/>
  <c r="S19"/>
  <c r="Q19"/>
  <c r="P19"/>
  <c r="N19"/>
  <c r="L19"/>
  <c r="M19" s="1"/>
  <c r="I19"/>
  <c r="G19"/>
  <c r="H19" s="1"/>
  <c r="F19"/>
  <c r="E19"/>
  <c r="D19"/>
  <c r="U18"/>
  <c r="S18"/>
  <c r="Q18"/>
  <c r="P18"/>
  <c r="N18"/>
  <c r="L18"/>
  <c r="M18" s="1"/>
  <c r="F18"/>
  <c r="E18"/>
  <c r="D18"/>
  <c r="C18"/>
  <c r="U17"/>
  <c r="S17"/>
  <c r="Q17"/>
  <c r="P17"/>
  <c r="N17"/>
  <c r="L17"/>
  <c r="M17" s="1"/>
  <c r="G17"/>
  <c r="H17" s="1"/>
  <c r="F17"/>
  <c r="E17"/>
  <c r="D17"/>
  <c r="U16"/>
  <c r="S16"/>
  <c r="Q16"/>
  <c r="P16"/>
  <c r="N16"/>
  <c r="M16"/>
  <c r="L16"/>
  <c r="G16"/>
  <c r="H16" s="1"/>
  <c r="F16"/>
  <c r="E16"/>
  <c r="D16"/>
  <c r="U15"/>
  <c r="S15"/>
  <c r="Q15"/>
  <c r="P15"/>
  <c r="N15"/>
  <c r="L15"/>
  <c r="M15" s="1"/>
  <c r="F15"/>
  <c r="C15"/>
  <c r="D15" s="1"/>
  <c r="U14"/>
  <c r="S14"/>
  <c r="Q14"/>
  <c r="P14"/>
  <c r="N14"/>
  <c r="L14"/>
  <c r="M14" s="1"/>
  <c r="C14"/>
  <c r="E14" s="1"/>
  <c r="U13"/>
  <c r="S13"/>
  <c r="Q13"/>
  <c r="P13"/>
  <c r="N13"/>
  <c r="L13"/>
  <c r="M13" s="1"/>
  <c r="C13"/>
  <c r="F13" s="1"/>
  <c r="U12"/>
  <c r="S12"/>
  <c r="Q12"/>
  <c r="P12"/>
  <c r="N12"/>
  <c r="L12"/>
  <c r="M12" s="1"/>
  <c r="E12"/>
  <c r="C12"/>
  <c r="D12" s="1"/>
  <c r="U11"/>
  <c r="S11"/>
  <c r="Q11"/>
  <c r="P11"/>
  <c r="N11"/>
  <c r="M11"/>
  <c r="L11"/>
  <c r="C11"/>
  <c r="D11" s="1"/>
  <c r="U10"/>
  <c r="S10"/>
  <c r="Q10"/>
  <c r="P10"/>
  <c r="N10"/>
  <c r="L10"/>
  <c r="M10" s="1"/>
  <c r="C10"/>
  <c r="E10" s="1"/>
  <c r="U9"/>
  <c r="S9"/>
  <c r="Q9"/>
  <c r="P9"/>
  <c r="N9"/>
  <c r="L9"/>
  <c r="M9" s="1"/>
  <c r="G9"/>
  <c r="J9" s="1"/>
  <c r="F9"/>
  <c r="E9"/>
  <c r="D9"/>
  <c r="U8"/>
  <c r="S8"/>
  <c r="Q8"/>
  <c r="P8"/>
  <c r="N8"/>
  <c r="L8"/>
  <c r="M8" s="1"/>
  <c r="C8"/>
  <c r="F8" s="1"/>
  <c r="U7"/>
  <c r="S7"/>
  <c r="Q7"/>
  <c r="P7"/>
  <c r="N7"/>
  <c r="L7"/>
  <c r="L72" s="1"/>
  <c r="L74" s="1"/>
  <c r="C7"/>
  <c r="F7" s="1"/>
  <c r="I17" l="1"/>
  <c r="K9"/>
  <c r="X9" s="1"/>
  <c r="D7"/>
  <c r="K7" s="1"/>
  <c r="F10"/>
  <c r="E11"/>
  <c r="G15"/>
  <c r="H15" s="1"/>
  <c r="J17"/>
  <c r="J19"/>
  <c r="E22"/>
  <c r="K22" s="1"/>
  <c r="X22" s="1"/>
  <c r="D26"/>
  <c r="D30"/>
  <c r="K30" s="1"/>
  <c r="X30" s="1"/>
  <c r="F33"/>
  <c r="D35"/>
  <c r="D37"/>
  <c r="F39"/>
  <c r="D42"/>
  <c r="D47"/>
  <c r="E68"/>
  <c r="K40"/>
  <c r="X40" s="1"/>
  <c r="E7"/>
  <c r="F11"/>
  <c r="E26"/>
  <c r="K34"/>
  <c r="X34" s="1"/>
  <c r="E35"/>
  <c r="D38"/>
  <c r="E40"/>
  <c r="E42"/>
  <c r="D54"/>
  <c r="E57"/>
  <c r="D64"/>
  <c r="K64" s="1"/>
  <c r="X64" s="1"/>
  <c r="F68"/>
  <c r="K69"/>
  <c r="X69" s="1"/>
  <c r="Q72"/>
  <c r="F14"/>
  <c r="E15"/>
  <c r="K15" s="1"/>
  <c r="X15" s="1"/>
  <c r="K19"/>
  <c r="X19" s="1"/>
  <c r="F21"/>
  <c r="F30"/>
  <c r="F35"/>
  <c r="F40"/>
  <c r="D41"/>
  <c r="K41" s="1"/>
  <c r="X41" s="1"/>
  <c r="F42"/>
  <c r="G43"/>
  <c r="J43" s="1"/>
  <c r="E52"/>
  <c r="E54"/>
  <c r="F57"/>
  <c r="K58"/>
  <c r="E64"/>
  <c r="J20"/>
  <c r="I20"/>
  <c r="J42"/>
  <c r="I42"/>
  <c r="H42"/>
  <c r="F61"/>
  <c r="E61"/>
  <c r="G61"/>
  <c r="D61"/>
  <c r="D8"/>
  <c r="G14"/>
  <c r="I16"/>
  <c r="H20"/>
  <c r="G28"/>
  <c r="J48"/>
  <c r="I48"/>
  <c r="H48"/>
  <c r="J59"/>
  <c r="I59"/>
  <c r="H59"/>
  <c r="G8"/>
  <c r="J44"/>
  <c r="I44"/>
  <c r="H44"/>
  <c r="F50"/>
  <c r="E50"/>
  <c r="G50"/>
  <c r="D50"/>
  <c r="E62"/>
  <c r="D62"/>
  <c r="G62"/>
  <c r="F62"/>
  <c r="F71"/>
  <c r="E71"/>
  <c r="G71"/>
  <c r="D71"/>
  <c r="M7"/>
  <c r="M72" s="1"/>
  <c r="D13"/>
  <c r="U72"/>
  <c r="E8"/>
  <c r="I9"/>
  <c r="D10"/>
  <c r="K10" s="1"/>
  <c r="X10" s="1"/>
  <c r="G11"/>
  <c r="F12"/>
  <c r="K12" s="1"/>
  <c r="X12" s="1"/>
  <c r="E13"/>
  <c r="D14"/>
  <c r="K14" s="1"/>
  <c r="X14" s="1"/>
  <c r="I15"/>
  <c r="K16"/>
  <c r="X16" s="1"/>
  <c r="J16"/>
  <c r="F20"/>
  <c r="E20"/>
  <c r="F24"/>
  <c r="E24"/>
  <c r="D24"/>
  <c r="K26"/>
  <c r="X26" s="1"/>
  <c r="F32"/>
  <c r="E32"/>
  <c r="D32"/>
  <c r="F66"/>
  <c r="K66" s="1"/>
  <c r="X66" s="1"/>
  <c r="E66"/>
  <c r="G66"/>
  <c r="D66"/>
  <c r="E67"/>
  <c r="K67" s="1"/>
  <c r="X67" s="1"/>
  <c r="D67"/>
  <c r="G67"/>
  <c r="F67"/>
  <c r="K8"/>
  <c r="X8" s="1"/>
  <c r="G13"/>
  <c r="F28"/>
  <c r="E28"/>
  <c r="D28"/>
  <c r="K28" s="1"/>
  <c r="X28" s="1"/>
  <c r="E51"/>
  <c r="D51"/>
  <c r="G51"/>
  <c r="F51"/>
  <c r="H9"/>
  <c r="G10"/>
  <c r="C72"/>
  <c r="G7"/>
  <c r="P72"/>
  <c r="G12"/>
  <c r="J15"/>
  <c r="K17"/>
  <c r="X17" s="1"/>
  <c r="K18"/>
  <c r="X18" s="1"/>
  <c r="J24"/>
  <c r="I24"/>
  <c r="H24"/>
  <c r="J32"/>
  <c r="I32"/>
  <c r="H32"/>
  <c r="K39"/>
  <c r="X39" s="1"/>
  <c r="F46"/>
  <c r="E46"/>
  <c r="G46"/>
  <c r="D46"/>
  <c r="G21"/>
  <c r="K21"/>
  <c r="X21" s="1"/>
  <c r="G25"/>
  <c r="G29"/>
  <c r="G33"/>
  <c r="F45"/>
  <c r="E45"/>
  <c r="J47"/>
  <c r="I47"/>
  <c r="F49"/>
  <c r="E49"/>
  <c r="F55"/>
  <c r="E55"/>
  <c r="E56"/>
  <c r="D56"/>
  <c r="X58"/>
  <c r="F60"/>
  <c r="E60"/>
  <c r="F65"/>
  <c r="E65"/>
  <c r="F70"/>
  <c r="E70"/>
  <c r="D21"/>
  <c r="G22"/>
  <c r="F23"/>
  <c r="K23" s="1"/>
  <c r="X23" s="1"/>
  <c r="D25"/>
  <c r="K25" s="1"/>
  <c r="X25" s="1"/>
  <c r="G26"/>
  <c r="F27"/>
  <c r="K27" s="1"/>
  <c r="X27" s="1"/>
  <c r="D29"/>
  <c r="K29" s="1"/>
  <c r="X29" s="1"/>
  <c r="G30"/>
  <c r="F31"/>
  <c r="K31" s="1"/>
  <c r="X31" s="1"/>
  <c r="D33"/>
  <c r="K33" s="1"/>
  <c r="X33" s="1"/>
  <c r="H34"/>
  <c r="G35"/>
  <c r="F36"/>
  <c r="K36" s="1"/>
  <c r="X36" s="1"/>
  <c r="F37"/>
  <c r="K37" s="1"/>
  <c r="X37" s="1"/>
  <c r="F38"/>
  <c r="D43"/>
  <c r="F44"/>
  <c r="E44"/>
  <c r="D45"/>
  <c r="H47"/>
  <c r="F48"/>
  <c r="E48"/>
  <c r="D49"/>
  <c r="D55"/>
  <c r="K55" s="1"/>
  <c r="X55" s="1"/>
  <c r="F56"/>
  <c r="F59"/>
  <c r="E59"/>
  <c r="D60"/>
  <c r="K60" s="1"/>
  <c r="X60" s="1"/>
  <c r="D65"/>
  <c r="D70"/>
  <c r="G18"/>
  <c r="G23"/>
  <c r="G27"/>
  <c r="G31"/>
  <c r="G36"/>
  <c r="G37"/>
  <c r="G38"/>
  <c r="G39"/>
  <c r="G40"/>
  <c r="G41"/>
  <c r="E43"/>
  <c r="D44"/>
  <c r="K44" s="1"/>
  <c r="X44" s="1"/>
  <c r="G45"/>
  <c r="F47"/>
  <c r="E47"/>
  <c r="D48"/>
  <c r="G49"/>
  <c r="G55"/>
  <c r="G56"/>
  <c r="D59"/>
  <c r="G60"/>
  <c r="G65"/>
  <c r="G70"/>
  <c r="G52"/>
  <c r="K52"/>
  <c r="X52" s="1"/>
  <c r="G53"/>
  <c r="K53"/>
  <c r="X53" s="1"/>
  <c r="G57"/>
  <c r="K57"/>
  <c r="X57" s="1"/>
  <c r="G63"/>
  <c r="K63"/>
  <c r="X63" s="1"/>
  <c r="G68"/>
  <c r="K68"/>
  <c r="X68" s="1"/>
  <c r="G54"/>
  <c r="G58"/>
  <c r="G64"/>
  <c r="G69"/>
  <c r="K54" l="1"/>
  <c r="X54" s="1"/>
  <c r="K47"/>
  <c r="X47" s="1"/>
  <c r="K35"/>
  <c r="X35" s="1"/>
  <c r="K11"/>
  <c r="X11" s="1"/>
  <c r="K65"/>
  <c r="X65" s="1"/>
  <c r="K56"/>
  <c r="X56" s="1"/>
  <c r="K45"/>
  <c r="X45" s="1"/>
  <c r="K38"/>
  <c r="X38" s="1"/>
  <c r="K32"/>
  <c r="X32" s="1"/>
  <c r="K20"/>
  <c r="X20" s="1"/>
  <c r="K62"/>
  <c r="X62" s="1"/>
  <c r="K61"/>
  <c r="X61" s="1"/>
  <c r="H43"/>
  <c r="K13"/>
  <c r="X13" s="1"/>
  <c r="K42"/>
  <c r="X42" s="1"/>
  <c r="K59"/>
  <c r="X59" s="1"/>
  <c r="K48"/>
  <c r="X48" s="1"/>
  <c r="K43"/>
  <c r="X43" s="1"/>
  <c r="K70"/>
  <c r="X70" s="1"/>
  <c r="K49"/>
  <c r="X49" s="1"/>
  <c r="I43"/>
  <c r="K51"/>
  <c r="X51" s="1"/>
  <c r="K71"/>
  <c r="X71" s="1"/>
  <c r="K50"/>
  <c r="X50" s="1"/>
  <c r="J64"/>
  <c r="I64"/>
  <c r="H64"/>
  <c r="H52"/>
  <c r="I52"/>
  <c r="J52"/>
  <c r="J45"/>
  <c r="I45"/>
  <c r="H45"/>
  <c r="I25"/>
  <c r="H25"/>
  <c r="J25"/>
  <c r="J50"/>
  <c r="I50"/>
  <c r="H50"/>
  <c r="H57"/>
  <c r="J57"/>
  <c r="I57"/>
  <c r="J37"/>
  <c r="I37"/>
  <c r="H37"/>
  <c r="J23"/>
  <c r="I23"/>
  <c r="H23"/>
  <c r="H7"/>
  <c r="J7"/>
  <c r="I7"/>
  <c r="J71"/>
  <c r="I71"/>
  <c r="H71"/>
  <c r="I62"/>
  <c r="H62"/>
  <c r="J62"/>
  <c r="J58"/>
  <c r="I58"/>
  <c r="H58"/>
  <c r="J70"/>
  <c r="I70"/>
  <c r="H70"/>
  <c r="I56"/>
  <c r="H56"/>
  <c r="J56"/>
  <c r="J40"/>
  <c r="I40"/>
  <c r="H40"/>
  <c r="J36"/>
  <c r="I36"/>
  <c r="H36"/>
  <c r="J18"/>
  <c r="H18"/>
  <c r="I18"/>
  <c r="H22"/>
  <c r="J22"/>
  <c r="I22"/>
  <c r="K46"/>
  <c r="X46" s="1"/>
  <c r="J12"/>
  <c r="I12"/>
  <c r="H12"/>
  <c r="E72"/>
  <c r="H72" s="1"/>
  <c r="D72"/>
  <c r="G72" s="1"/>
  <c r="J72" s="1"/>
  <c r="F72"/>
  <c r="I72" s="1"/>
  <c r="I51"/>
  <c r="H51"/>
  <c r="J51"/>
  <c r="J28"/>
  <c r="I28"/>
  <c r="H28"/>
  <c r="I14"/>
  <c r="H14"/>
  <c r="J14"/>
  <c r="J61"/>
  <c r="I61"/>
  <c r="H61"/>
  <c r="J54"/>
  <c r="I54"/>
  <c r="H54"/>
  <c r="H63"/>
  <c r="I63"/>
  <c r="J63"/>
  <c r="H53"/>
  <c r="I53"/>
  <c r="J53"/>
  <c r="J65"/>
  <c r="I65"/>
  <c r="H65"/>
  <c r="J55"/>
  <c r="I55"/>
  <c r="H55"/>
  <c r="J39"/>
  <c r="I39"/>
  <c r="H39"/>
  <c r="J31"/>
  <c r="I31"/>
  <c r="H31"/>
  <c r="H26"/>
  <c r="J26"/>
  <c r="I26"/>
  <c r="I29"/>
  <c r="H29"/>
  <c r="J29"/>
  <c r="I21"/>
  <c r="H21"/>
  <c r="J21"/>
  <c r="J46"/>
  <c r="I46"/>
  <c r="H46"/>
  <c r="I10"/>
  <c r="J10"/>
  <c r="H10"/>
  <c r="I67"/>
  <c r="H67"/>
  <c r="J67"/>
  <c r="J66"/>
  <c r="I66"/>
  <c r="H66"/>
  <c r="K24"/>
  <c r="X24" s="1"/>
  <c r="H68"/>
  <c r="I68"/>
  <c r="J68"/>
  <c r="J41"/>
  <c r="I41"/>
  <c r="H41"/>
  <c r="I33"/>
  <c r="H33"/>
  <c r="J33"/>
  <c r="J69"/>
  <c r="I69"/>
  <c r="H69"/>
  <c r="J60"/>
  <c r="I60"/>
  <c r="H60"/>
  <c r="J49"/>
  <c r="I49"/>
  <c r="H49"/>
  <c r="J38"/>
  <c r="I38"/>
  <c r="H38"/>
  <c r="J27"/>
  <c r="I27"/>
  <c r="H27"/>
  <c r="H35"/>
  <c r="J35"/>
  <c r="I35"/>
  <c r="H30"/>
  <c r="J30"/>
  <c r="I30"/>
  <c r="X7"/>
  <c r="J13"/>
  <c r="H13"/>
  <c r="I13"/>
  <c r="H11"/>
  <c r="J11"/>
  <c r="I11"/>
  <c r="J8"/>
  <c r="H8"/>
  <c r="I8"/>
  <c r="X72" l="1"/>
  <c r="K72"/>
</calcChain>
</file>

<file path=xl/sharedStrings.xml><?xml version="1.0" encoding="utf-8"?>
<sst xmlns="http://schemas.openxmlformats.org/spreadsheetml/2006/main" count="92" uniqueCount="92">
  <si>
    <t>№</t>
  </si>
  <si>
    <t>Наименование</t>
  </si>
  <si>
    <t>Сводная информация для портала   открытые бюджеты</t>
  </si>
  <si>
    <t>1 квартал 2021</t>
  </si>
  <si>
    <t>в месяц  МБ+РБ</t>
  </si>
  <si>
    <t>з/пл  за год</t>
  </si>
  <si>
    <t>налоги</t>
  </si>
  <si>
    <t>Коомунальные расходы</t>
  </si>
  <si>
    <t>приобретения</t>
  </si>
  <si>
    <t>тыс.тенге</t>
  </si>
  <si>
    <t>111  год</t>
  </si>
  <si>
    <t>з/пл                                  1 квартал</t>
  </si>
  <si>
    <t>отоплен за отопительый сезон</t>
  </si>
  <si>
    <t>в месяц отоп</t>
  </si>
  <si>
    <t>отопление                      1 кв</t>
  </si>
  <si>
    <t>эл/энергия год</t>
  </si>
  <si>
    <t>эл/энергия 1 кв</t>
  </si>
  <si>
    <t xml:space="preserve">эл.энергия 1 квартал </t>
  </si>
  <si>
    <t>услуги связи год</t>
  </si>
  <si>
    <t>услуги связи 1 кв</t>
  </si>
  <si>
    <t>вода канализ</t>
  </si>
  <si>
    <t>вода канализ    1 кварт</t>
  </si>
  <si>
    <t>учебники</t>
  </si>
  <si>
    <t xml:space="preserve">Общие затраты школ  за год </t>
  </si>
  <si>
    <t>Абайская средняя школа</t>
  </si>
  <si>
    <t xml:space="preserve">данные берутся с накладных  </t>
  </si>
  <si>
    <t>Айдабульская средняя школа</t>
  </si>
  <si>
    <t>Аккольская средняя школа</t>
  </si>
  <si>
    <t>Акадырская средняя школа</t>
  </si>
  <si>
    <t>Алексеевская средняя школа</t>
  </si>
  <si>
    <t>Березняковская средняя школа</t>
  </si>
  <si>
    <t>Бирлистыкская средняя школа</t>
  </si>
  <si>
    <t>Викторовская средняя школа</t>
  </si>
  <si>
    <t>Доломитовская средняя школа</t>
  </si>
  <si>
    <t>Еленовская средняя школа</t>
  </si>
  <si>
    <t>ЗСШ № 1</t>
  </si>
  <si>
    <t>ЗКСШ</t>
  </si>
  <si>
    <t>Зерендинская средняя школа № 2</t>
  </si>
  <si>
    <t>Игликская казахская средняя школа</t>
  </si>
  <si>
    <t>Исаковская средняя школа</t>
  </si>
  <si>
    <t>Куропаткинская средняя школа</t>
  </si>
  <si>
    <t>Кызылсаянская средняя школа</t>
  </si>
  <si>
    <t>Кызылтанская средняя школа</t>
  </si>
  <si>
    <t>Молодожненская средняя школа</t>
  </si>
  <si>
    <t>Ортагашская основная школа</t>
  </si>
  <si>
    <t>Ортакская средняя школа</t>
  </si>
  <si>
    <t>Приреченская средняя школа</t>
  </si>
  <si>
    <t>Раздольненская  средняя школа</t>
  </si>
  <si>
    <t>Садовская средняя  школа</t>
  </si>
  <si>
    <t>Сейфуллинская средняя школа</t>
  </si>
  <si>
    <t>Симферопольская средняя школа</t>
  </si>
  <si>
    <t>Троицкая средняя школа</t>
  </si>
  <si>
    <t>Чаглинская  СШ</t>
  </si>
  <si>
    <t>Азатская основная школа</t>
  </si>
  <si>
    <t>Айдарлинская основная школа</t>
  </si>
  <si>
    <t>Аканская основная школа</t>
  </si>
  <si>
    <t>Байтерекская средняя школа</t>
  </si>
  <si>
    <t>Баратайская основная школа</t>
  </si>
  <si>
    <t>Булакская начальная  школа</t>
  </si>
  <si>
    <t>Васильковская основная школа</t>
  </si>
  <si>
    <t>Гранитная основная школа</t>
  </si>
  <si>
    <t>Донгулагашская основная школа</t>
  </si>
  <si>
    <t>Жолдыбайская основная школа</t>
  </si>
  <si>
    <t>Жылымдинская основная школа</t>
  </si>
  <si>
    <t>Зареченская основная школа</t>
  </si>
  <si>
    <t>Карабулакская основная школа</t>
  </si>
  <si>
    <t>Карлыкольская основная школа</t>
  </si>
  <si>
    <t>Казахстанская основная школа</t>
  </si>
  <si>
    <t>Кенеоткельская основная школа</t>
  </si>
  <si>
    <t>Коктерекская основная школа</t>
  </si>
  <si>
    <t>Костомаровская основная школа</t>
  </si>
  <si>
    <t>Кошкарбайская основная школа</t>
  </si>
  <si>
    <t>Краснокордонская основная школа</t>
  </si>
  <si>
    <t>Кызылегиская основная школа</t>
  </si>
  <si>
    <t>Малотюктинская основная школа</t>
  </si>
  <si>
    <t>Первомайская основная школа</t>
  </si>
  <si>
    <t>Пухальская основная школа</t>
  </si>
  <si>
    <t>Уголковская основная школа</t>
  </si>
  <si>
    <t>Чаглинская основная школа</t>
  </si>
  <si>
    <t>Богенбайская начальная школа</t>
  </si>
  <si>
    <t>Уялинская начальная школа</t>
  </si>
  <si>
    <t>Жанаульская начальная школа</t>
  </si>
  <si>
    <t>Ивановская начальная школа</t>
  </si>
  <si>
    <t>Павловская начальная школа</t>
  </si>
  <si>
    <t>Карагайская  начальная школа</t>
  </si>
  <si>
    <t>Караузекская начальная школа</t>
  </si>
  <si>
    <t>Карсакская начальная школа</t>
  </si>
  <si>
    <t>Красиловская начальная школа</t>
  </si>
  <si>
    <t xml:space="preserve">ГУ Отдел образования </t>
  </si>
  <si>
    <t>Вечерка</t>
  </si>
  <si>
    <t>ИТОГО:</t>
  </si>
  <si>
    <t>тыс.т.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</si>
</sst>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sz val="10"/>
      <name val="Tahoma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3" fontId="0" fillId="2" borderId="0" xfId="0" applyNumberForma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wrapText="1"/>
    </xf>
    <xf numFmtId="0" fontId="1" fillId="2" borderId="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165" fontId="5" fillId="0" borderId="5" xfId="1" applyFont="1" applyFill="1" applyBorder="1" applyAlignment="1">
      <alignment horizontal="center" vertical="center" wrapText="1"/>
    </xf>
    <xf numFmtId="165" fontId="6" fillId="0" borderId="6" xfId="1" applyFont="1" applyFill="1" applyBorder="1" applyAlignment="1">
      <alignment vertical="top" wrapText="1"/>
    </xf>
    <xf numFmtId="2" fontId="6" fillId="0" borderId="5" xfId="1" applyNumberFormat="1" applyFont="1" applyFill="1" applyBorder="1" applyAlignment="1">
      <alignment vertical="top" wrapText="1"/>
    </xf>
    <xf numFmtId="164" fontId="6" fillId="0" borderId="5" xfId="1" applyNumberFormat="1" applyFont="1" applyFill="1" applyBorder="1" applyAlignment="1">
      <alignment vertical="top" wrapText="1"/>
    </xf>
    <xf numFmtId="3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5" fillId="0" borderId="8" xfId="1" applyFont="1" applyFill="1" applyBorder="1" applyAlignment="1">
      <alignment horizontal="center" vertical="center" wrapText="1"/>
    </xf>
    <xf numFmtId="165" fontId="6" fillId="0" borderId="9" xfId="1" applyFont="1" applyFill="1" applyBorder="1" applyAlignment="1">
      <alignment vertical="top" wrapText="1"/>
    </xf>
    <xf numFmtId="3" fontId="0" fillId="2" borderId="5" xfId="0" applyNumberFormat="1" applyFill="1" applyBorder="1" applyAlignment="1">
      <alignment horizontal="center"/>
    </xf>
    <xf numFmtId="165" fontId="5" fillId="2" borderId="12" xfId="1" applyFont="1" applyFill="1" applyBorder="1" applyAlignment="1">
      <alignment horizontal="center" vertical="center" wrapText="1"/>
    </xf>
    <xf numFmtId="165" fontId="6" fillId="2" borderId="13" xfId="1" applyFont="1" applyFill="1" applyBorder="1" applyAlignment="1">
      <alignment vertical="top" wrapText="1"/>
    </xf>
    <xf numFmtId="164" fontId="6" fillId="2" borderId="5" xfId="1" applyNumberFormat="1" applyFont="1" applyFill="1" applyBorder="1" applyAlignment="1">
      <alignment vertical="top" wrapText="1"/>
    </xf>
    <xf numFmtId="164" fontId="6" fillId="2" borderId="5" xfId="1" applyNumberFormat="1" applyFont="1" applyFill="1" applyBorder="1" applyAlignment="1">
      <alignment vertical="center" wrapText="1"/>
    </xf>
    <xf numFmtId="164" fontId="6" fillId="0" borderId="5" xfId="1" applyNumberFormat="1" applyFont="1" applyFill="1" applyBorder="1" applyAlignment="1">
      <alignment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5" fontId="8" fillId="2" borderId="12" xfId="1" applyFont="1" applyFill="1" applyBorder="1" applyAlignment="1">
      <alignment horizontal="center" vertical="center" wrapText="1"/>
    </xf>
    <xf numFmtId="165" fontId="9" fillId="2" borderId="13" xfId="1" applyFont="1" applyFill="1" applyBorder="1" applyAlignment="1">
      <alignment vertical="top" wrapText="1"/>
    </xf>
    <xf numFmtId="164" fontId="9" fillId="2" borderId="5" xfId="1" applyNumberFormat="1" applyFont="1" applyFill="1" applyBorder="1" applyAlignment="1">
      <alignment vertical="top" wrapText="1"/>
    </xf>
    <xf numFmtId="3" fontId="10" fillId="2" borderId="7" xfId="0" applyNumberFormat="1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0" xfId="0" applyFont="1" applyFill="1"/>
    <xf numFmtId="165" fontId="5" fillId="2" borderId="13" xfId="1" applyFont="1" applyFill="1" applyBorder="1" applyAlignment="1">
      <alignment horizontal="center" vertical="center" wrapText="1"/>
    </xf>
    <xf numFmtId="165" fontId="6" fillId="2" borderId="13" xfId="1" applyFont="1" applyFill="1" applyBorder="1" applyAlignment="1"/>
    <xf numFmtId="164" fontId="6" fillId="2" borderId="5" xfId="1" applyNumberFormat="1" applyFont="1" applyFill="1" applyBorder="1" applyAlignment="1"/>
    <xf numFmtId="4" fontId="0" fillId="2" borderId="5" xfId="0" applyNumberFormat="1" applyFill="1" applyBorder="1" applyAlignment="1">
      <alignment horizontal="center"/>
    </xf>
    <xf numFmtId="165" fontId="11" fillId="0" borderId="12" xfId="1" applyFont="1" applyFill="1" applyBorder="1" applyAlignment="1">
      <alignment horizontal="center" vertical="center" wrapText="1"/>
    </xf>
    <xf numFmtId="165" fontId="12" fillId="0" borderId="13" xfId="1" applyFont="1" applyFill="1" applyBorder="1" applyAlignment="1"/>
    <xf numFmtId="164" fontId="12" fillId="0" borderId="5" xfId="1" applyNumberFormat="1" applyFont="1" applyFill="1" applyBorder="1" applyAlignment="1"/>
    <xf numFmtId="3" fontId="13" fillId="2" borderId="5" xfId="0" applyNumberFormat="1" applyFont="1" applyFill="1" applyBorder="1" applyAlignment="1">
      <alignment horizontal="center"/>
    </xf>
    <xf numFmtId="0" fontId="13" fillId="2" borderId="0" xfId="0" applyFont="1" applyFill="1"/>
    <xf numFmtId="0" fontId="13" fillId="0" borderId="0" xfId="0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14" fillId="0" borderId="0" xfId="0" applyFont="1"/>
    <xf numFmtId="164" fontId="14" fillId="0" borderId="0" xfId="0" applyNumberFormat="1" applyFont="1"/>
    <xf numFmtId="3" fontId="14" fillId="2" borderId="0" xfId="0" applyNumberFormat="1" applyFont="1" applyFill="1" applyAlignment="1">
      <alignment horizontal="center"/>
    </xf>
    <xf numFmtId="0" fontId="2" fillId="0" borderId="0" xfId="0" applyFont="1"/>
    <xf numFmtId="164" fontId="2" fillId="0" borderId="0" xfId="0" applyNumberFormat="1" applyFont="1"/>
    <xf numFmtId="3" fontId="2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6;&#1090;&#1082;&#1088;&#1099;&#1090;&#1099;&#1077;%20&#1073;&#1102;&#1076;&#1078;&#1077;&#1090;&#1099;/1%20&#1082;&#1074;%202021&#1075;&#1054;&#1090;&#1082;&#1088;&#1099;&#1090;&#1099;&#1077;%20%20&#1073;&#1102;&#1076;&#1078;&#1077;&#1090;&#1099;%20&#1047;&#1072;&#1090;&#1088;&#1072;&#1090;&#1099;%20&#1096;&#1082;&#1086;&#1083;%20&#1085;&#1072;%20110%20(&#1040;&#1074;&#1090;&#1086;&#1089;&#1086;&#1093;&#1088;&#1072;&#1085;&#1077;&#1085;&#1085;&#1099;&#1081;)%20&#8212;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5;&#1075;&#1077;&#1083;&#1080;&#1085;&#1072;/Desktop/&#1044;&#1054;&#1043;&#1054;&#1042;&#1054;&#1056;&#1040;%20&#1047;&#1077;&#1088;&#1077;&#1085;&#1076;&#1072;/&#1087;&#1088;&#1080;&#1083;&#1086;&#1078;._&#1082;_&#1076;&#1086;&#1075;._&#1047;&#1077;&#1088;&#1077;&#1085;&#1076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">
          <cell r="J6">
            <v>12873168.007379351</v>
          </cell>
        </row>
        <row r="7">
          <cell r="J7">
            <v>12013720.855255393</v>
          </cell>
        </row>
        <row r="8">
          <cell r="J8">
            <v>8629271.2720314339</v>
          </cell>
        </row>
        <row r="9">
          <cell r="J9">
            <v>7625100.2980835158</v>
          </cell>
        </row>
        <row r="11">
          <cell r="J11">
            <v>9385117.6688126847</v>
          </cell>
        </row>
        <row r="12">
          <cell r="J12">
            <v>7425181.3609999996</v>
          </cell>
        </row>
        <row r="13">
          <cell r="J13">
            <v>13746179.402885601</v>
          </cell>
        </row>
        <row r="15">
          <cell r="J15">
            <v>7837638.0911145825</v>
          </cell>
        </row>
        <row r="17">
          <cell r="J17">
            <v>15896303.081448099</v>
          </cell>
        </row>
        <row r="19">
          <cell r="J19">
            <v>7732127.8151980983</v>
          </cell>
        </row>
        <row r="20">
          <cell r="J20">
            <v>5306275.8012449741</v>
          </cell>
        </row>
        <row r="21">
          <cell r="J21">
            <v>7141379.7636512872</v>
          </cell>
        </row>
        <row r="22">
          <cell r="J22">
            <v>6462736.9432605999</v>
          </cell>
        </row>
        <row r="23">
          <cell r="J23">
            <v>14444194.371994976</v>
          </cell>
        </row>
        <row r="24">
          <cell r="J24">
            <v>9823182.4827918485</v>
          </cell>
        </row>
        <row r="25">
          <cell r="J25">
            <v>6848269.5907918485</v>
          </cell>
        </row>
        <row r="26">
          <cell r="J26">
            <v>4381301.3616408091</v>
          </cell>
        </row>
        <row r="27">
          <cell r="J27">
            <v>8205632.5673637241</v>
          </cell>
        </row>
        <row r="28">
          <cell r="J28">
            <v>9770760.7949533071</v>
          </cell>
        </row>
        <row r="29">
          <cell r="J29">
            <v>10489088.921817891</v>
          </cell>
        </row>
        <row r="30">
          <cell r="J30">
            <v>6201442.2744585164</v>
          </cell>
        </row>
        <row r="31">
          <cell r="J31">
            <v>7591403.3973699752</v>
          </cell>
        </row>
        <row r="32">
          <cell r="J32">
            <v>6678490.0416564327</v>
          </cell>
        </row>
        <row r="34">
          <cell r="J34">
            <v>6468239.5284918509</v>
          </cell>
        </row>
        <row r="35">
          <cell r="J35">
            <v>3807968.9260522663</v>
          </cell>
        </row>
        <row r="36">
          <cell r="J36">
            <v>4405815.0499579459</v>
          </cell>
        </row>
        <row r="37">
          <cell r="J37">
            <v>750940.86783294729</v>
          </cell>
        </row>
        <row r="38">
          <cell r="J38">
            <v>4116466.6800585166</v>
          </cell>
        </row>
        <row r="39">
          <cell r="J39">
            <v>7587091.2818296626</v>
          </cell>
        </row>
        <row r="40">
          <cell r="J40">
            <v>4508878.2471876815</v>
          </cell>
        </row>
        <row r="41">
          <cell r="J41">
            <v>8241468.3737085164</v>
          </cell>
        </row>
        <row r="42">
          <cell r="J42">
            <v>6425079.5290933633</v>
          </cell>
        </row>
        <row r="43">
          <cell r="J43">
            <v>3725833.7278121137</v>
          </cell>
        </row>
        <row r="44">
          <cell r="J44">
            <v>5387875.1330599748</v>
          </cell>
        </row>
        <row r="45">
          <cell r="J45">
            <v>3701828.7106355992</v>
          </cell>
        </row>
        <row r="46">
          <cell r="J46">
            <v>4431680.345279349</v>
          </cell>
        </row>
        <row r="47">
          <cell r="J47">
            <v>970772.16614128044</v>
          </cell>
        </row>
        <row r="48">
          <cell r="J48">
            <v>3733460.5312137241</v>
          </cell>
        </row>
        <row r="49">
          <cell r="J49">
            <v>893641.91773919715</v>
          </cell>
        </row>
        <row r="50">
          <cell r="J50">
            <v>3114140.2739293016</v>
          </cell>
        </row>
        <row r="51">
          <cell r="J51">
            <v>5683780.2916720584</v>
          </cell>
        </row>
        <row r="52">
          <cell r="J52">
            <v>3830868.4139168495</v>
          </cell>
        </row>
        <row r="53">
          <cell r="J53">
            <v>3357714.7371766972</v>
          </cell>
        </row>
        <row r="54">
          <cell r="J54">
            <v>4199139.173606473</v>
          </cell>
        </row>
        <row r="55">
          <cell r="J55">
            <v>4295933.2007964896</v>
          </cell>
        </row>
        <row r="56">
          <cell r="J56">
            <v>3834752.3088121144</v>
          </cell>
        </row>
        <row r="57">
          <cell r="J57">
            <v>7420792.3418682674</v>
          </cell>
        </row>
        <row r="58">
          <cell r="J58">
            <v>3217411.9115719004</v>
          </cell>
        </row>
        <row r="59">
          <cell r="J59">
            <v>8821575.2963335179</v>
          </cell>
        </row>
        <row r="60">
          <cell r="J60">
            <v>1565619.1166996141</v>
          </cell>
        </row>
        <row r="61">
          <cell r="J61">
            <v>1148854.4637297257</v>
          </cell>
        </row>
        <row r="62">
          <cell r="J62">
            <v>1161630.3581651424</v>
          </cell>
        </row>
        <row r="63">
          <cell r="J63">
            <v>1032842.529894309</v>
          </cell>
        </row>
        <row r="64">
          <cell r="J64">
            <v>869213.7286037805</v>
          </cell>
        </row>
        <row r="65">
          <cell r="J65">
            <v>1154810.2987829472</v>
          </cell>
        </row>
        <row r="66">
          <cell r="J66">
            <v>993279.41164430894</v>
          </cell>
        </row>
        <row r="67">
          <cell r="J67">
            <v>1292308.1337484759</v>
          </cell>
        </row>
        <row r="68">
          <cell r="J68">
            <v>1052652.9652704471</v>
          </cell>
        </row>
        <row r="69">
          <cell r="J69">
            <v>4059140.316302083</v>
          </cell>
        </row>
        <row r="77">
          <cell r="I77">
            <v>5328150.2674687505</v>
          </cell>
        </row>
      </sheetData>
      <sheetData sheetId="75"/>
      <sheetData sheetId="7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 квартал "/>
      <sheetName val="2021 за год "/>
      <sheetName val="Дополнительное дошкольное образ"/>
      <sheetName val="Лист1"/>
    </sheetNames>
    <sheetDataSet>
      <sheetData sheetId="0"/>
      <sheetData sheetId="1">
        <row r="8">
          <cell r="L8">
            <v>7420</v>
          </cell>
          <cell r="M8">
            <v>463.9</v>
          </cell>
        </row>
        <row r="9">
          <cell r="L9">
            <v>3007</v>
          </cell>
          <cell r="M9">
            <v>589</v>
          </cell>
        </row>
        <row r="10">
          <cell r="L10">
            <v>5943</v>
          </cell>
          <cell r="M10">
            <v>1199</v>
          </cell>
        </row>
        <row r="11">
          <cell r="L11">
            <v>6173.3210351999996</v>
          </cell>
          <cell r="M11">
            <v>588</v>
          </cell>
        </row>
        <row r="12">
          <cell r="L12">
            <v>11231</v>
          </cell>
          <cell r="M12">
            <v>786.1</v>
          </cell>
        </row>
        <row r="13">
          <cell r="L13">
            <v>8160</v>
          </cell>
          <cell r="M13">
            <v>879.6</v>
          </cell>
        </row>
        <row r="14">
          <cell r="L14">
            <v>8136</v>
          </cell>
          <cell r="M14">
            <v>598.5</v>
          </cell>
        </row>
        <row r="15">
          <cell r="L15">
            <v>11269</v>
          </cell>
          <cell r="M15">
            <v>1241.82</v>
          </cell>
        </row>
        <row r="16">
          <cell r="L16">
            <v>11322</v>
          </cell>
          <cell r="M16">
            <v>595.6</v>
          </cell>
        </row>
        <row r="17">
          <cell r="L17">
            <v>7229</v>
          </cell>
          <cell r="M17">
            <v>1198.0999999999999</v>
          </cell>
        </row>
        <row r="18">
          <cell r="L18">
            <v>8411</v>
          </cell>
          <cell r="M18">
            <v>1051.5999999999999</v>
          </cell>
        </row>
        <row r="19">
          <cell r="L19">
            <v>11880</v>
          </cell>
          <cell r="M19">
            <v>1841.6</v>
          </cell>
        </row>
        <row r="20">
          <cell r="L20">
            <v>17120</v>
          </cell>
          <cell r="M20">
            <v>1267.3</v>
          </cell>
        </row>
        <row r="21">
          <cell r="L21">
            <v>7660</v>
          </cell>
          <cell r="M21">
            <v>470.74</v>
          </cell>
        </row>
        <row r="22">
          <cell r="L22">
            <v>8904</v>
          </cell>
          <cell r="M22">
            <v>579.29999999999995</v>
          </cell>
        </row>
        <row r="23">
          <cell r="L23">
            <v>10553</v>
          </cell>
          <cell r="M23">
            <v>884.39</v>
          </cell>
        </row>
        <row r="24">
          <cell r="L24">
            <v>11057</v>
          </cell>
          <cell r="M24">
            <v>817.5</v>
          </cell>
        </row>
        <row r="25">
          <cell r="L25">
            <v>4655</v>
          </cell>
          <cell r="M25">
            <v>277.02999999999997</v>
          </cell>
        </row>
        <row r="26">
          <cell r="L26">
            <v>12001</v>
          </cell>
          <cell r="M26">
            <v>4194.1000000000004</v>
          </cell>
        </row>
        <row r="27">
          <cell r="L27">
            <v>5214</v>
          </cell>
          <cell r="M27">
            <v>598.58000000000004</v>
          </cell>
        </row>
        <row r="28">
          <cell r="L28">
            <v>5355</v>
          </cell>
          <cell r="M28">
            <v>396.1</v>
          </cell>
        </row>
        <row r="29">
          <cell r="L29">
            <v>6355</v>
          </cell>
          <cell r="M29">
            <v>366.79</v>
          </cell>
        </row>
        <row r="30">
          <cell r="L30">
            <v>9352</v>
          </cell>
          <cell r="M30">
            <v>657.8</v>
          </cell>
        </row>
        <row r="31">
          <cell r="L31">
            <v>2544.9717626000001</v>
          </cell>
          <cell r="M31">
            <v>392.5</v>
          </cell>
        </row>
        <row r="32">
          <cell r="L32">
            <v>13408</v>
          </cell>
          <cell r="M32">
            <v>372.5</v>
          </cell>
        </row>
        <row r="33">
          <cell r="L33">
            <v>11043</v>
          </cell>
          <cell r="M33">
            <v>1173.04</v>
          </cell>
        </row>
        <row r="34">
          <cell r="L34">
            <v>14286</v>
          </cell>
          <cell r="M34">
            <v>874.58</v>
          </cell>
        </row>
        <row r="35">
          <cell r="L35">
            <v>11749</v>
          </cell>
          <cell r="M35">
            <v>1154.5</v>
          </cell>
        </row>
        <row r="36">
          <cell r="L36">
            <v>5129</v>
          </cell>
          <cell r="M36">
            <v>1537</v>
          </cell>
        </row>
        <row r="37">
          <cell r="L37">
            <v>6465</v>
          </cell>
          <cell r="M37">
            <v>813.28</v>
          </cell>
        </row>
        <row r="38">
          <cell r="L38">
            <v>5377</v>
          </cell>
          <cell r="M38">
            <v>481.2</v>
          </cell>
        </row>
        <row r="39">
          <cell r="L39">
            <v>7515</v>
          </cell>
          <cell r="M39">
            <v>462.5</v>
          </cell>
        </row>
        <row r="40">
          <cell r="L40">
            <v>8068</v>
          </cell>
          <cell r="M40">
            <v>475.6</v>
          </cell>
        </row>
        <row r="41">
          <cell r="L41">
            <v>1209</v>
          </cell>
          <cell r="M41">
            <v>276</v>
          </cell>
        </row>
        <row r="42">
          <cell r="L42">
            <v>5640</v>
          </cell>
          <cell r="M42">
            <v>282.2</v>
          </cell>
        </row>
        <row r="43">
          <cell r="L43">
            <v>2290</v>
          </cell>
          <cell r="M43">
            <v>471.6</v>
          </cell>
        </row>
        <row r="44">
          <cell r="L44">
            <v>1778</v>
          </cell>
          <cell r="M44">
            <v>467.5</v>
          </cell>
        </row>
        <row r="45">
          <cell r="L45">
            <v>1587</v>
          </cell>
          <cell r="M45">
            <v>279.52999999999997</v>
          </cell>
        </row>
        <row r="46">
          <cell r="L46">
            <v>6876</v>
          </cell>
          <cell r="M46">
            <v>199.5</v>
          </cell>
        </row>
        <row r="47">
          <cell r="L47">
            <v>4847</v>
          </cell>
          <cell r="M47">
            <v>288.8</v>
          </cell>
        </row>
        <row r="48">
          <cell r="L48">
            <v>8047</v>
          </cell>
          <cell r="M48">
            <v>231.5</v>
          </cell>
        </row>
        <row r="49">
          <cell r="L49">
            <v>5781.1598296000002</v>
          </cell>
          <cell r="M49">
            <v>23.8</v>
          </cell>
        </row>
        <row r="50">
          <cell r="L50">
            <v>460</v>
          </cell>
          <cell r="M50">
            <v>34.200000000000003</v>
          </cell>
        </row>
        <row r="51">
          <cell r="L51">
            <v>1764</v>
          </cell>
          <cell r="M51">
            <v>105.64</v>
          </cell>
        </row>
        <row r="52">
          <cell r="L52">
            <v>1455.1583465999997</v>
          </cell>
          <cell r="M52">
            <v>98.29</v>
          </cell>
        </row>
        <row r="53">
          <cell r="L53">
            <v>6123</v>
          </cell>
          <cell r="M53">
            <v>871.6</v>
          </cell>
        </row>
        <row r="54">
          <cell r="L54">
            <v>1768.1579084</v>
          </cell>
          <cell r="M54">
            <v>288.48</v>
          </cell>
        </row>
        <row r="55">
          <cell r="L55">
            <v>2082.0155910000003</v>
          </cell>
          <cell r="M55">
            <v>424.74</v>
          </cell>
        </row>
        <row r="56">
          <cell r="L56">
            <v>6661.5917703999994</v>
          </cell>
          <cell r="M56">
            <v>228.02</v>
          </cell>
        </row>
        <row r="57">
          <cell r="L57">
            <v>1936</v>
          </cell>
          <cell r="M57">
            <v>149.25</v>
          </cell>
        </row>
        <row r="58">
          <cell r="L58">
            <v>971</v>
          </cell>
          <cell r="M58">
            <v>47.46</v>
          </cell>
        </row>
        <row r="59">
          <cell r="L59">
            <v>8098.0859896000002</v>
          </cell>
          <cell r="M59">
            <v>261.14</v>
          </cell>
        </row>
        <row r="60">
          <cell r="L60">
            <v>847</v>
          </cell>
          <cell r="M60">
            <v>84.83</v>
          </cell>
        </row>
        <row r="61">
          <cell r="L61">
            <v>9321</v>
          </cell>
          <cell r="M61">
            <v>1043.3</v>
          </cell>
        </row>
        <row r="62">
          <cell r="L62">
            <v>5206</v>
          </cell>
          <cell r="M62">
            <v>75.5</v>
          </cell>
        </row>
        <row r="63">
          <cell r="L63">
            <v>344.32097100000004</v>
          </cell>
          <cell r="M63">
            <v>54.3</v>
          </cell>
        </row>
        <row r="64">
          <cell r="L64">
            <v>352.25858840000006</v>
          </cell>
          <cell r="M64">
            <v>77.3</v>
          </cell>
        </row>
        <row r="65">
          <cell r="L65">
            <v>495.77929220000004</v>
          </cell>
          <cell r="M65">
            <v>97.8</v>
          </cell>
        </row>
        <row r="66">
          <cell r="L66">
            <v>5918</v>
          </cell>
          <cell r="M66">
            <v>195.37</v>
          </cell>
        </row>
        <row r="67">
          <cell r="L67">
            <v>1393.5881792000002</v>
          </cell>
          <cell r="M67">
            <v>65.5</v>
          </cell>
        </row>
        <row r="68">
          <cell r="L68">
            <v>1898.1632095999996</v>
          </cell>
          <cell r="M68">
            <v>25.8</v>
          </cell>
        </row>
        <row r="69">
          <cell r="L69">
            <v>691.85989500000005</v>
          </cell>
          <cell r="M69">
            <v>26.33</v>
          </cell>
        </row>
        <row r="70">
          <cell r="L70">
            <v>910</v>
          </cell>
          <cell r="M70">
            <v>44.66</v>
          </cell>
        </row>
        <row r="71">
          <cell r="M71">
            <v>1394.8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Зеренда"/>
      <sheetName val="Лист1"/>
      <sheetName val="школы"/>
      <sheetName val="школы (2)"/>
      <sheetName val="ДС Жулдыз"/>
      <sheetName val="ЯС Бобек"/>
      <sheetName val="ДС Айголек"/>
      <sheetName val="ДС Айналайын"/>
      <sheetName val="ДС Балдырган"/>
      <sheetName val="ДК"/>
      <sheetName val="ФАП"/>
      <sheetName val="Почта"/>
      <sheetName val="ФЛ"/>
      <sheetName val="прогноз на 2020 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D6">
            <v>6173321.0351999998</v>
          </cell>
        </row>
        <row r="13">
          <cell r="D13">
            <v>2544971.7626</v>
          </cell>
        </row>
        <row r="20">
          <cell r="D20">
            <v>1455158.3465999998</v>
          </cell>
        </row>
        <row r="22">
          <cell r="D22">
            <v>1768157.9084000001</v>
          </cell>
        </row>
        <row r="23">
          <cell r="D23">
            <v>2082015.5910000002</v>
          </cell>
        </row>
        <row r="24">
          <cell r="D24">
            <v>6661591.7703999998</v>
          </cell>
        </row>
        <row r="25">
          <cell r="D25">
            <v>1835734.9214000001</v>
          </cell>
        </row>
        <row r="26">
          <cell r="D26">
            <v>471108.31920000003</v>
          </cell>
        </row>
        <row r="27">
          <cell r="D27">
            <v>8098085.9896</v>
          </cell>
        </row>
        <row r="28">
          <cell r="D28">
            <v>5206647.9539999999</v>
          </cell>
        </row>
        <row r="29">
          <cell r="D29">
            <v>352258.58840000007</v>
          </cell>
        </row>
        <row r="30">
          <cell r="D30">
            <v>495779.29220000003</v>
          </cell>
        </row>
        <row r="31">
          <cell r="D31">
            <v>1393588.1792000001</v>
          </cell>
        </row>
        <row r="32">
          <cell r="D32">
            <v>1898163.2095999997</v>
          </cell>
        </row>
        <row r="33">
          <cell r="D33">
            <v>691859.89500000002</v>
          </cell>
        </row>
        <row r="34">
          <cell r="D34">
            <v>944576.47060000012</v>
          </cell>
        </row>
        <row r="36">
          <cell r="D36">
            <v>344320.97100000002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A80"/>
  <sheetViews>
    <sheetView tabSelected="1" workbookViewId="0">
      <selection activeCell="B6" sqref="B6"/>
    </sheetView>
  </sheetViews>
  <sheetFormatPr defaultRowHeight="15"/>
  <cols>
    <col min="1" max="1" width="4.5703125" customWidth="1"/>
    <col min="2" max="2" width="34.42578125" customWidth="1"/>
    <col min="3" max="3" width="15.7109375" style="65" customWidth="1"/>
    <col min="4" max="4" width="12.7109375" style="65" customWidth="1"/>
    <col min="5" max="5" width="10.5703125" style="65" customWidth="1"/>
    <col min="6" max="6" width="11.140625" style="65" customWidth="1"/>
    <col min="7" max="7" width="20.5703125" style="66" hidden="1" customWidth="1"/>
    <col min="8" max="8" width="13.7109375" style="66" hidden="1" customWidth="1"/>
    <col min="9" max="9" width="13.140625" style="66" hidden="1" customWidth="1"/>
    <col min="10" max="10" width="14.42578125" style="66" hidden="1" customWidth="1"/>
    <col min="11" max="11" width="14.140625" style="66" customWidth="1"/>
    <col min="12" max="13" width="15" style="66" hidden="1" customWidth="1"/>
    <col min="14" max="14" width="15" style="66" customWidth="1"/>
    <col min="15" max="15" width="12.140625" style="67" hidden="1" customWidth="1"/>
    <col min="16" max="16" width="12.140625" style="68" hidden="1" customWidth="1"/>
    <col min="17" max="17" width="12" style="67" customWidth="1"/>
    <col min="18" max="18" width="12.28515625" style="67" hidden="1" customWidth="1"/>
    <col min="19" max="19" width="12.28515625" style="68" customWidth="1"/>
    <col min="20" max="20" width="0.140625" style="67" customWidth="1"/>
    <col min="21" max="21" width="12.28515625" style="67" customWidth="1"/>
    <col min="22" max="22" width="14.28515625" style="67" customWidth="1"/>
    <col min="23" max="23" width="14.5703125" style="67" customWidth="1"/>
    <col min="24" max="24" width="17.85546875" style="5" customWidth="1"/>
    <col min="25" max="27" width="9.140625" style="6"/>
  </cols>
  <sheetData>
    <row r="1" spans="1:24" ht="15.75">
      <c r="A1" s="1"/>
      <c r="B1" s="82"/>
      <c r="C1" s="82"/>
      <c r="D1" s="82"/>
      <c r="E1" s="82"/>
      <c r="F1" s="82"/>
      <c r="G1" s="82"/>
      <c r="H1" s="82"/>
      <c r="I1" s="82"/>
      <c r="J1" s="82"/>
      <c r="K1" s="2"/>
      <c r="L1" s="3"/>
      <c r="M1" s="3"/>
      <c r="N1" s="3"/>
      <c r="O1" s="2"/>
      <c r="P1" s="4"/>
      <c r="Q1" s="2"/>
      <c r="R1" s="2"/>
      <c r="S1" s="4"/>
      <c r="T1" s="2"/>
      <c r="U1" s="2"/>
      <c r="V1" s="2"/>
      <c r="W1" s="2"/>
    </row>
    <row r="2" spans="1:24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8"/>
    </row>
    <row r="3" spans="1:24">
      <c r="A3" s="11"/>
      <c r="B3" s="84" t="s">
        <v>2</v>
      </c>
      <c r="C3" s="84"/>
      <c r="D3" s="84"/>
      <c r="E3" s="84"/>
      <c r="F3" s="84"/>
      <c r="G3" s="84"/>
      <c r="H3" s="84"/>
      <c r="I3" s="84"/>
      <c r="J3" s="12"/>
      <c r="K3" s="12"/>
      <c r="L3" s="13"/>
      <c r="M3" s="13"/>
      <c r="N3" s="13"/>
      <c r="O3" s="13"/>
      <c r="P3" s="14"/>
      <c r="Q3" s="13"/>
      <c r="R3" s="13"/>
      <c r="S3" s="14"/>
      <c r="T3" s="13"/>
      <c r="U3" s="13"/>
      <c r="V3" s="13"/>
      <c r="W3" s="13"/>
      <c r="X3" s="15"/>
    </row>
    <row r="4" spans="1:24" hidden="1">
      <c r="A4" s="11"/>
      <c r="B4" s="16"/>
      <c r="C4" s="17"/>
      <c r="D4" s="17"/>
      <c r="E4" s="17" t="s">
        <v>3</v>
      </c>
      <c r="F4" s="17"/>
      <c r="G4" s="12"/>
      <c r="H4" s="12"/>
      <c r="I4" s="12"/>
      <c r="J4" s="12"/>
      <c r="K4" s="12"/>
      <c r="L4" s="13"/>
      <c r="M4" s="13"/>
      <c r="N4" s="13"/>
      <c r="O4" s="13"/>
      <c r="P4" s="14"/>
      <c r="Q4" s="13"/>
      <c r="R4" s="13"/>
      <c r="S4" s="14"/>
      <c r="T4" s="13"/>
      <c r="U4" s="13"/>
      <c r="V4" s="13"/>
      <c r="W4" s="13"/>
      <c r="X4" s="15"/>
    </row>
    <row r="5" spans="1:24" ht="30" hidden="1" customHeight="1">
      <c r="A5" s="9" t="s">
        <v>0</v>
      </c>
      <c r="B5" s="10" t="s">
        <v>1</v>
      </c>
      <c r="C5" s="20"/>
      <c r="D5" s="85" t="s">
        <v>4</v>
      </c>
      <c r="E5" s="85"/>
      <c r="F5" s="85"/>
      <c r="G5" s="21" t="s">
        <v>5</v>
      </c>
      <c r="H5" s="86" t="s">
        <v>6</v>
      </c>
      <c r="I5" s="86"/>
      <c r="J5" s="86"/>
      <c r="K5" s="22"/>
      <c r="L5" s="75" t="s">
        <v>7</v>
      </c>
      <c r="M5" s="75"/>
      <c r="N5" s="75"/>
      <c r="O5" s="75"/>
      <c r="P5" s="75"/>
      <c r="Q5" s="75"/>
      <c r="R5" s="75"/>
      <c r="S5" s="75"/>
      <c r="T5" s="75"/>
      <c r="U5" s="23"/>
      <c r="V5" s="23"/>
      <c r="W5" s="75" t="s">
        <v>8</v>
      </c>
      <c r="X5" s="24" t="s">
        <v>9</v>
      </c>
    </row>
    <row r="6" spans="1:24" ht="50.25" hidden="1" customHeight="1">
      <c r="A6" s="18"/>
      <c r="B6" s="19"/>
      <c r="C6" s="25">
        <v>111</v>
      </c>
      <c r="D6" s="25">
        <v>121</v>
      </c>
      <c r="E6" s="25">
        <v>122</v>
      </c>
      <c r="F6" s="25">
        <v>124</v>
      </c>
      <c r="G6" s="21" t="s">
        <v>10</v>
      </c>
      <c r="H6" s="22">
        <v>121</v>
      </c>
      <c r="I6" s="22">
        <v>122</v>
      </c>
      <c r="J6" s="22">
        <v>124</v>
      </c>
      <c r="K6" s="22" t="s">
        <v>11</v>
      </c>
      <c r="L6" s="22" t="s">
        <v>12</v>
      </c>
      <c r="M6" s="22" t="s">
        <v>13</v>
      </c>
      <c r="N6" s="22" t="s">
        <v>14</v>
      </c>
      <c r="O6" s="26" t="s">
        <v>15</v>
      </c>
      <c r="P6" s="26" t="s">
        <v>16</v>
      </c>
      <c r="Q6" s="27" t="s">
        <v>17</v>
      </c>
      <c r="R6" s="27" t="s">
        <v>18</v>
      </c>
      <c r="S6" s="28" t="s">
        <v>19</v>
      </c>
      <c r="T6" s="27" t="s">
        <v>20</v>
      </c>
      <c r="U6" s="27" t="s">
        <v>21</v>
      </c>
      <c r="V6" s="27" t="s">
        <v>22</v>
      </c>
      <c r="W6" s="75"/>
      <c r="X6" s="29" t="s">
        <v>23</v>
      </c>
    </row>
    <row r="7" spans="1:24" ht="15.75" hidden="1">
      <c r="A7" s="30">
        <v>1</v>
      </c>
      <c r="B7" s="31" t="s">
        <v>24</v>
      </c>
      <c r="C7" s="32">
        <f>'[1]Свод '!$J$6/1000</f>
        <v>12873.16800737935</v>
      </c>
      <c r="D7" s="33">
        <f>(C7-C7*10%)*6%</f>
        <v>695.15107239848487</v>
      </c>
      <c r="E7" s="33">
        <f>(C7-C7*10%)*3.5%</f>
        <v>405.50479223244957</v>
      </c>
      <c r="F7" s="33">
        <f>C7*2%</f>
        <v>257.46336014758703</v>
      </c>
      <c r="G7" s="34">
        <f>C7*12</f>
        <v>154478.01608855219</v>
      </c>
      <c r="H7" s="34">
        <f>(G7-G7*10%)*6%</f>
        <v>8341.8128687818171</v>
      </c>
      <c r="I7" s="34">
        <f>(G7-G7*10%)*3.5%</f>
        <v>4866.0575067893942</v>
      </c>
      <c r="J7" s="34">
        <f>G7*2%</f>
        <v>3089.5603217710441</v>
      </c>
      <c r="K7" s="34">
        <f>(C7+D7+E7+F7)*3</f>
        <v>42693.861696473614</v>
      </c>
      <c r="L7" s="34">
        <f>8629+81</f>
        <v>8710</v>
      </c>
      <c r="M7" s="34">
        <f>L7/7</f>
        <v>1244.2857142857142</v>
      </c>
      <c r="N7" s="34">
        <f>'[2]2021 за год '!L8/7*3</f>
        <v>3180</v>
      </c>
      <c r="O7" s="35">
        <v>423.9</v>
      </c>
      <c r="P7" s="36">
        <f t="shared" ref="P7:P70" si="0">O7/12</f>
        <v>35.324999999999996</v>
      </c>
      <c r="Q7" s="35">
        <f>'[2]2021 за год '!M8/12*3</f>
        <v>115.97499999999999</v>
      </c>
      <c r="R7" s="35">
        <v>424.7</v>
      </c>
      <c r="S7" s="36">
        <f>R7/12*3</f>
        <v>106.175</v>
      </c>
      <c r="T7" s="37">
        <v>50</v>
      </c>
      <c r="U7" s="37">
        <f>T7/12*3</f>
        <v>12.5</v>
      </c>
      <c r="V7" s="76" t="s">
        <v>25</v>
      </c>
      <c r="W7" s="77"/>
      <c r="X7" s="24">
        <f>K7+N7+P7+Q7+S7+U7</f>
        <v>46143.836696473612</v>
      </c>
    </row>
    <row r="8" spans="1:24" ht="15.75" hidden="1">
      <c r="A8" s="38">
        <v>2</v>
      </c>
      <c r="B8" s="39" t="s">
        <v>26</v>
      </c>
      <c r="C8" s="33">
        <f>'[1]Свод '!$J$7/1000</f>
        <v>12013.720855255393</v>
      </c>
      <c r="D8" s="33">
        <f t="shared" ref="D8:D71" si="1">(C8-C8*10%)*6%</f>
        <v>648.7409261837912</v>
      </c>
      <c r="E8" s="33">
        <f t="shared" ref="E8:E71" si="2">(C8-C8*10%)*3.5%</f>
        <v>378.43220694054492</v>
      </c>
      <c r="F8" s="33">
        <f t="shared" ref="F8:F71" si="3">C8*2%</f>
        <v>240.27441710510786</v>
      </c>
      <c r="G8" s="34">
        <f t="shared" ref="G8:G71" si="4">C8*12</f>
        <v>144164.65026306472</v>
      </c>
      <c r="H8" s="34">
        <f t="shared" ref="H8:H69" si="5">(G8-G8*10%)*6%</f>
        <v>7784.8911142054949</v>
      </c>
      <c r="I8" s="34">
        <f t="shared" ref="I8:I69" si="6">(G8-G8*10%)*3.5%</f>
        <v>4541.1864832865394</v>
      </c>
      <c r="J8" s="34">
        <f t="shared" ref="J8:J71" si="7">G8*2%</f>
        <v>2883.2930052612942</v>
      </c>
      <c r="K8" s="34">
        <f t="shared" ref="K8:K71" si="8">(C8+D8+E8+F8)*3</f>
        <v>39843.505216454505</v>
      </c>
      <c r="L8" s="40">
        <f>3542+81</f>
        <v>3623</v>
      </c>
      <c r="M8" s="34">
        <f t="shared" ref="M8:M71" si="9">L8/7</f>
        <v>517.57142857142856</v>
      </c>
      <c r="N8" s="34">
        <f>'[2]2021 за год '!L9/7*3</f>
        <v>1288.7142857142858</v>
      </c>
      <c r="O8" s="37">
        <v>348</v>
      </c>
      <c r="P8" s="36">
        <f t="shared" si="0"/>
        <v>29</v>
      </c>
      <c r="Q8" s="35">
        <f>'[2]2021 за год '!M9/12*3</f>
        <v>147.25</v>
      </c>
      <c r="R8" s="37">
        <v>354.9</v>
      </c>
      <c r="S8" s="36">
        <f t="shared" ref="S8:S71" si="10">R8/12*3</f>
        <v>88.724999999999994</v>
      </c>
      <c r="T8" s="37"/>
      <c r="U8" s="37">
        <f t="shared" ref="U8:U70" si="11">T8/12*3</f>
        <v>0</v>
      </c>
      <c r="V8" s="78"/>
      <c r="W8" s="79"/>
      <c r="X8" s="24">
        <f t="shared" ref="X8:X71" si="12">K8+N8+P8+Q8+S8+U8</f>
        <v>41397.194502168786</v>
      </c>
    </row>
    <row r="9" spans="1:24" s="6" customFormat="1" ht="15.75" hidden="1">
      <c r="A9" s="41">
        <v>3</v>
      </c>
      <c r="B9" s="42" t="s">
        <v>27</v>
      </c>
      <c r="C9" s="43">
        <v>14856.9</v>
      </c>
      <c r="D9" s="33">
        <f t="shared" si="1"/>
        <v>802.2725999999999</v>
      </c>
      <c r="E9" s="33">
        <f t="shared" si="2"/>
        <v>467.99234999999999</v>
      </c>
      <c r="F9" s="33">
        <f t="shared" si="3"/>
        <v>297.13799999999998</v>
      </c>
      <c r="G9" s="34">
        <f t="shared" si="4"/>
        <v>178282.8</v>
      </c>
      <c r="H9" s="34">
        <f t="shared" si="5"/>
        <v>9627.2711999999992</v>
      </c>
      <c r="I9" s="34">
        <f t="shared" si="6"/>
        <v>5615.9081999999999</v>
      </c>
      <c r="J9" s="34">
        <f t="shared" si="7"/>
        <v>3565.6559999999999</v>
      </c>
      <c r="K9" s="34">
        <f t="shared" si="8"/>
        <v>49272.908850000007</v>
      </c>
      <c r="L9" s="40">
        <f>6212+81</f>
        <v>6293</v>
      </c>
      <c r="M9" s="34">
        <f t="shared" si="9"/>
        <v>899</v>
      </c>
      <c r="N9" s="34">
        <f>'[2]2021 за год '!L10/7*3</f>
        <v>2547</v>
      </c>
      <c r="O9" s="37">
        <v>1164.5</v>
      </c>
      <c r="P9" s="36">
        <f t="shared" si="0"/>
        <v>97.041666666666671</v>
      </c>
      <c r="Q9" s="35">
        <f>'[2]2021 за год '!M10/12*3</f>
        <v>299.75</v>
      </c>
      <c r="R9" s="37">
        <v>354</v>
      </c>
      <c r="S9" s="36">
        <f t="shared" si="10"/>
        <v>88.5</v>
      </c>
      <c r="T9" s="37"/>
      <c r="U9" s="37">
        <f t="shared" si="11"/>
        <v>0</v>
      </c>
      <c r="V9" s="78"/>
      <c r="W9" s="79"/>
      <c r="X9" s="24">
        <f t="shared" si="12"/>
        <v>52305.200516666671</v>
      </c>
    </row>
    <row r="10" spans="1:24" s="6" customFormat="1" ht="15.75" hidden="1">
      <c r="A10" s="41">
        <v>4</v>
      </c>
      <c r="B10" s="42" t="s">
        <v>28</v>
      </c>
      <c r="C10" s="43">
        <f>'[1]Свод '!$J$8/1000</f>
        <v>8629.2712720314339</v>
      </c>
      <c r="D10" s="33">
        <f t="shared" si="1"/>
        <v>465.98064868969738</v>
      </c>
      <c r="E10" s="33">
        <f t="shared" si="2"/>
        <v>271.82204506899018</v>
      </c>
      <c r="F10" s="33">
        <f t="shared" si="3"/>
        <v>172.58542544062868</v>
      </c>
      <c r="G10" s="34">
        <f t="shared" si="4"/>
        <v>103551.25526437721</v>
      </c>
      <c r="H10" s="34">
        <f t="shared" si="5"/>
        <v>5591.7677842763687</v>
      </c>
      <c r="I10" s="34">
        <f t="shared" si="6"/>
        <v>3261.8645408278821</v>
      </c>
      <c r="J10" s="34">
        <f t="shared" si="7"/>
        <v>2071.0251052875442</v>
      </c>
      <c r="K10" s="34">
        <f t="shared" si="8"/>
        <v>28618.978173692252</v>
      </c>
      <c r="L10" s="40">
        <f>'[3]прогноз на 2020 г'!$D$6/1000</f>
        <v>6173.3210351999996</v>
      </c>
      <c r="M10" s="34">
        <f t="shared" si="9"/>
        <v>881.90300502857133</v>
      </c>
      <c r="N10" s="34">
        <f>'[2]2021 за год '!L11/7*3</f>
        <v>2645.7090150857139</v>
      </c>
      <c r="O10" s="37">
        <v>488.68</v>
      </c>
      <c r="P10" s="36">
        <f t="shared" si="0"/>
        <v>40.723333333333336</v>
      </c>
      <c r="Q10" s="35">
        <f>'[2]2021 за год '!M11/12*3</f>
        <v>147</v>
      </c>
      <c r="R10" s="37">
        <v>155</v>
      </c>
      <c r="S10" s="36">
        <f t="shared" si="10"/>
        <v>38.75</v>
      </c>
      <c r="T10" s="37">
        <v>50</v>
      </c>
      <c r="U10" s="37">
        <f t="shared" si="11"/>
        <v>12.5</v>
      </c>
      <c r="V10" s="78"/>
      <c r="W10" s="79"/>
      <c r="X10" s="24">
        <f t="shared" si="12"/>
        <v>31503.660522111299</v>
      </c>
    </row>
    <row r="11" spans="1:24" s="6" customFormat="1" ht="15.75" hidden="1">
      <c r="A11" s="41">
        <v>5</v>
      </c>
      <c r="B11" s="42" t="s">
        <v>29</v>
      </c>
      <c r="C11" s="43">
        <f>'[1]Свод '!$J$9/1000</f>
        <v>7625.1002980835156</v>
      </c>
      <c r="D11" s="33">
        <f t="shared" si="1"/>
        <v>411.7554160965098</v>
      </c>
      <c r="E11" s="33">
        <f t="shared" si="2"/>
        <v>240.19065938963075</v>
      </c>
      <c r="F11" s="33">
        <f t="shared" si="3"/>
        <v>152.50200596167031</v>
      </c>
      <c r="G11" s="34">
        <f t="shared" si="4"/>
        <v>91501.20357700219</v>
      </c>
      <c r="H11" s="34">
        <f t="shared" si="5"/>
        <v>4941.0649931581183</v>
      </c>
      <c r="I11" s="34">
        <f t="shared" si="6"/>
        <v>2882.2879126755693</v>
      </c>
      <c r="J11" s="34">
        <f t="shared" si="7"/>
        <v>1830.0240715400439</v>
      </c>
      <c r="K11" s="34">
        <f t="shared" si="8"/>
        <v>25288.64513859398</v>
      </c>
      <c r="L11" s="40">
        <f>11766+81</f>
        <v>11847</v>
      </c>
      <c r="M11" s="34">
        <f t="shared" si="9"/>
        <v>1692.4285714285713</v>
      </c>
      <c r="N11" s="34">
        <f>'[2]2021 за год '!L12/7*3</f>
        <v>4813.2857142857138</v>
      </c>
      <c r="O11" s="37">
        <v>726.1</v>
      </c>
      <c r="P11" s="36">
        <f t="shared" si="0"/>
        <v>60.508333333333333</v>
      </c>
      <c r="Q11" s="35">
        <f>'[2]2021 за год '!M12/12*3</f>
        <v>196.52500000000003</v>
      </c>
      <c r="R11" s="37">
        <v>340</v>
      </c>
      <c r="S11" s="36">
        <f t="shared" si="10"/>
        <v>85</v>
      </c>
      <c r="T11" s="37">
        <v>129</v>
      </c>
      <c r="U11" s="37">
        <f t="shared" si="11"/>
        <v>32.25</v>
      </c>
      <c r="V11" s="78"/>
      <c r="W11" s="79"/>
      <c r="X11" s="24">
        <f t="shared" si="12"/>
        <v>30476.21418621303</v>
      </c>
    </row>
    <row r="12" spans="1:24" s="6" customFormat="1" ht="15.75" hidden="1">
      <c r="A12" s="41">
        <v>6</v>
      </c>
      <c r="B12" s="42" t="s">
        <v>30</v>
      </c>
      <c r="C12" s="43">
        <f>'[1]Свод '!$J$11/1000</f>
        <v>9385.1176688126852</v>
      </c>
      <c r="D12" s="33">
        <f>(C12-C12*10%)*6%</f>
        <v>506.79635411588492</v>
      </c>
      <c r="E12" s="33">
        <f t="shared" si="2"/>
        <v>295.63120656759958</v>
      </c>
      <c r="F12" s="33">
        <f t="shared" si="3"/>
        <v>187.70235337625371</v>
      </c>
      <c r="G12" s="34">
        <f t="shared" si="4"/>
        <v>112621.41202575222</v>
      </c>
      <c r="H12" s="34">
        <f t="shared" si="5"/>
        <v>6081.5562493906191</v>
      </c>
      <c r="I12" s="34">
        <f t="shared" si="6"/>
        <v>3547.5744788111951</v>
      </c>
      <c r="J12" s="34">
        <f t="shared" si="7"/>
        <v>2252.4282405150443</v>
      </c>
      <c r="K12" s="34">
        <f t="shared" si="8"/>
        <v>31125.742748617267</v>
      </c>
      <c r="L12" s="40">
        <f>9696+161</f>
        <v>9857</v>
      </c>
      <c r="M12" s="34">
        <f t="shared" si="9"/>
        <v>1408.1428571428571</v>
      </c>
      <c r="N12" s="34">
        <f>'[2]2021 за год '!L13/7*3</f>
        <v>3497.1428571428573</v>
      </c>
      <c r="O12" s="37">
        <v>539.88</v>
      </c>
      <c r="P12" s="36">
        <f t="shared" si="0"/>
        <v>44.99</v>
      </c>
      <c r="Q12" s="35">
        <f>'[2]2021 за год '!M13/12*3</f>
        <v>219.89999999999998</v>
      </c>
      <c r="R12" s="37">
        <v>368</v>
      </c>
      <c r="S12" s="36">
        <f t="shared" si="10"/>
        <v>92</v>
      </c>
      <c r="T12" s="37">
        <v>50</v>
      </c>
      <c r="U12" s="37">
        <f t="shared" si="11"/>
        <v>12.5</v>
      </c>
      <c r="V12" s="78"/>
      <c r="W12" s="79"/>
      <c r="X12" s="24">
        <f t="shared" si="12"/>
        <v>34992.275605760122</v>
      </c>
    </row>
    <row r="13" spans="1:24" s="6" customFormat="1" ht="15.75" hidden="1">
      <c r="A13" s="41">
        <v>7</v>
      </c>
      <c r="B13" s="42" t="s">
        <v>31</v>
      </c>
      <c r="C13" s="43">
        <f>'[1]Свод '!$J$12/1000</f>
        <v>7425.1813609999999</v>
      </c>
      <c r="D13" s="33">
        <f t="shared" si="1"/>
        <v>400.95979349399994</v>
      </c>
      <c r="E13" s="33">
        <f t="shared" si="2"/>
        <v>233.8932128715</v>
      </c>
      <c r="F13" s="33">
        <f t="shared" si="3"/>
        <v>148.50362722</v>
      </c>
      <c r="G13" s="34">
        <f t="shared" si="4"/>
        <v>89102.176332000003</v>
      </c>
      <c r="H13" s="34">
        <f t="shared" si="5"/>
        <v>4811.517521928</v>
      </c>
      <c r="I13" s="34">
        <f t="shared" si="6"/>
        <v>2806.7185544580007</v>
      </c>
      <c r="J13" s="34">
        <f t="shared" si="7"/>
        <v>1782.04352664</v>
      </c>
      <c r="K13" s="34">
        <f t="shared" si="8"/>
        <v>24625.613983756499</v>
      </c>
      <c r="L13" s="40">
        <f>8671+81</f>
        <v>8752</v>
      </c>
      <c r="M13" s="34">
        <f t="shared" si="9"/>
        <v>1250.2857142857142</v>
      </c>
      <c r="N13" s="34">
        <f>'[2]2021 за год '!L14/7*3</f>
        <v>3486.8571428571427</v>
      </c>
      <c r="O13" s="37">
        <v>315.05</v>
      </c>
      <c r="P13" s="36">
        <f t="shared" si="0"/>
        <v>26.254166666666666</v>
      </c>
      <c r="Q13" s="35">
        <f>'[2]2021 за год '!M14/12*3</f>
        <v>149.625</v>
      </c>
      <c r="R13" s="37">
        <v>211.9</v>
      </c>
      <c r="S13" s="36">
        <f t="shared" si="10"/>
        <v>52.975000000000009</v>
      </c>
      <c r="T13" s="37">
        <v>50</v>
      </c>
      <c r="U13" s="37">
        <f t="shared" si="11"/>
        <v>12.5</v>
      </c>
      <c r="V13" s="78"/>
      <c r="W13" s="79"/>
      <c r="X13" s="24">
        <f t="shared" si="12"/>
        <v>28353.825293280304</v>
      </c>
    </row>
    <row r="14" spans="1:24" s="6" customFormat="1" ht="15.75" hidden="1">
      <c r="A14" s="41">
        <v>8</v>
      </c>
      <c r="B14" s="42" t="s">
        <v>32</v>
      </c>
      <c r="C14" s="43">
        <f>'[1]Свод '!$J$13/1000</f>
        <v>13746.1794028856</v>
      </c>
      <c r="D14" s="33">
        <f t="shared" si="1"/>
        <v>742.29368775582248</v>
      </c>
      <c r="E14" s="33">
        <f t="shared" si="2"/>
        <v>433.00465119089648</v>
      </c>
      <c r="F14" s="33">
        <f t="shared" si="3"/>
        <v>274.92358805771204</v>
      </c>
      <c r="G14" s="34">
        <f t="shared" si="4"/>
        <v>164954.1528346272</v>
      </c>
      <c r="H14" s="34">
        <f t="shared" si="5"/>
        <v>8907.524253069867</v>
      </c>
      <c r="I14" s="34">
        <f t="shared" si="6"/>
        <v>5196.0558142907566</v>
      </c>
      <c r="J14" s="34">
        <f t="shared" si="7"/>
        <v>3299.0830566925438</v>
      </c>
      <c r="K14" s="34">
        <f t="shared" si="8"/>
        <v>45589.203989670095</v>
      </c>
      <c r="L14" s="40">
        <f>11361+81</f>
        <v>11442</v>
      </c>
      <c r="M14" s="34">
        <f t="shared" si="9"/>
        <v>1634.5714285714287</v>
      </c>
      <c r="N14" s="34">
        <f>'[2]2021 за год '!L15/7*3</f>
        <v>4829.5714285714284</v>
      </c>
      <c r="O14" s="37">
        <v>1241.82</v>
      </c>
      <c r="P14" s="36">
        <f t="shared" si="0"/>
        <v>103.485</v>
      </c>
      <c r="Q14" s="35">
        <f>'[2]2021 за год '!M15/12*3</f>
        <v>310.45499999999998</v>
      </c>
      <c r="R14" s="37">
        <v>215</v>
      </c>
      <c r="S14" s="36">
        <f t="shared" si="10"/>
        <v>53.75</v>
      </c>
      <c r="T14" s="37">
        <v>50</v>
      </c>
      <c r="U14" s="37">
        <f t="shared" si="11"/>
        <v>12.5</v>
      </c>
      <c r="V14" s="78"/>
      <c r="W14" s="79"/>
      <c r="X14" s="24">
        <f t="shared" si="12"/>
        <v>50898.965418241525</v>
      </c>
    </row>
    <row r="15" spans="1:24" s="6" customFormat="1" ht="15.75" hidden="1">
      <c r="A15" s="41">
        <v>9</v>
      </c>
      <c r="B15" s="42" t="s">
        <v>33</v>
      </c>
      <c r="C15" s="43">
        <f>'[1]Свод '!$J$15/1000</f>
        <v>7837.6380911145825</v>
      </c>
      <c r="D15" s="33">
        <f t="shared" si="1"/>
        <v>423.23245692018742</v>
      </c>
      <c r="E15" s="33">
        <f t="shared" si="2"/>
        <v>246.88559987010936</v>
      </c>
      <c r="F15" s="33">
        <f t="shared" si="3"/>
        <v>156.75276182229166</v>
      </c>
      <c r="G15" s="34">
        <f t="shared" si="4"/>
        <v>94051.65709337499</v>
      </c>
      <c r="H15" s="34">
        <f t="shared" si="5"/>
        <v>5078.7894830422492</v>
      </c>
      <c r="I15" s="34">
        <f t="shared" si="6"/>
        <v>2962.6271984413124</v>
      </c>
      <c r="J15" s="34">
        <f t="shared" si="7"/>
        <v>1881.0331418674998</v>
      </c>
      <c r="K15" s="34">
        <f t="shared" si="8"/>
        <v>25993.526729181518</v>
      </c>
      <c r="L15" s="40">
        <f>12370+81</f>
        <v>12451</v>
      </c>
      <c r="M15" s="34">
        <f t="shared" si="9"/>
        <v>1778.7142857142858</v>
      </c>
      <c r="N15" s="34">
        <f>'[2]2021 за год '!L16/7*3</f>
        <v>4852.2857142857138</v>
      </c>
      <c r="O15" s="37">
        <v>565.11</v>
      </c>
      <c r="P15" s="36">
        <f t="shared" si="0"/>
        <v>47.092500000000001</v>
      </c>
      <c r="Q15" s="35">
        <f>'[2]2021 за год '!M16/12*3</f>
        <v>148.9</v>
      </c>
      <c r="R15" s="37">
        <v>240</v>
      </c>
      <c r="S15" s="36">
        <f t="shared" si="10"/>
        <v>60</v>
      </c>
      <c r="T15" s="37">
        <v>129</v>
      </c>
      <c r="U15" s="37">
        <f t="shared" si="11"/>
        <v>32.25</v>
      </c>
      <c r="V15" s="78"/>
      <c r="W15" s="79"/>
      <c r="X15" s="24">
        <f t="shared" si="12"/>
        <v>31134.054943467232</v>
      </c>
    </row>
    <row r="16" spans="1:24" s="6" customFormat="1" ht="15.75" hidden="1">
      <c r="A16" s="41">
        <v>10</v>
      </c>
      <c r="B16" s="42" t="s">
        <v>34</v>
      </c>
      <c r="C16" s="43">
        <v>15765</v>
      </c>
      <c r="D16" s="33">
        <f t="shared" si="1"/>
        <v>851.31</v>
      </c>
      <c r="E16" s="33">
        <f t="shared" si="2"/>
        <v>496.59750000000003</v>
      </c>
      <c r="F16" s="33">
        <f t="shared" si="3"/>
        <v>315.3</v>
      </c>
      <c r="G16" s="34">
        <f t="shared" si="4"/>
        <v>189180</v>
      </c>
      <c r="H16" s="34">
        <f t="shared" si="5"/>
        <v>10215.719999999999</v>
      </c>
      <c r="I16" s="34">
        <f t="shared" si="6"/>
        <v>5959.170000000001</v>
      </c>
      <c r="J16" s="34">
        <f t="shared" si="7"/>
        <v>3783.6</v>
      </c>
      <c r="K16" s="34">
        <f t="shared" si="8"/>
        <v>52284.622499999998</v>
      </c>
      <c r="L16" s="40">
        <f>8446+81</f>
        <v>8527</v>
      </c>
      <c r="M16" s="34">
        <f t="shared" si="9"/>
        <v>1218.1428571428571</v>
      </c>
      <c r="N16" s="34">
        <f>'[2]2021 за год '!L17/7*3</f>
        <v>3098.1428571428573</v>
      </c>
      <c r="O16" s="37">
        <v>1108.0999999999999</v>
      </c>
      <c r="P16" s="36">
        <f t="shared" si="0"/>
        <v>92.341666666666654</v>
      </c>
      <c r="Q16" s="35">
        <f>'[2]2021 за год '!M17/12*3</f>
        <v>299.52499999999998</v>
      </c>
      <c r="R16" s="37">
        <v>398</v>
      </c>
      <c r="S16" s="36">
        <f t="shared" si="10"/>
        <v>99.5</v>
      </c>
      <c r="T16" s="37">
        <v>50</v>
      </c>
      <c r="U16" s="37">
        <f t="shared" si="11"/>
        <v>12.5</v>
      </c>
      <c r="V16" s="78"/>
      <c r="W16" s="79"/>
      <c r="X16" s="24">
        <f t="shared" si="12"/>
        <v>55886.632023809521</v>
      </c>
    </row>
    <row r="17" spans="1:24" s="6" customFormat="1" ht="15.75" hidden="1">
      <c r="A17" s="41">
        <v>11</v>
      </c>
      <c r="B17" s="42" t="s">
        <v>35</v>
      </c>
      <c r="C17" s="43">
        <v>29225.200000000001</v>
      </c>
      <c r="D17" s="33">
        <f t="shared" si="1"/>
        <v>1578.1607999999999</v>
      </c>
      <c r="E17" s="33">
        <f t="shared" si="2"/>
        <v>920.5938000000001</v>
      </c>
      <c r="F17" s="33">
        <f t="shared" si="3"/>
        <v>584.50400000000002</v>
      </c>
      <c r="G17" s="34">
        <f t="shared" si="4"/>
        <v>350702.4</v>
      </c>
      <c r="H17" s="34">
        <f t="shared" si="5"/>
        <v>18937.929599999999</v>
      </c>
      <c r="I17" s="34">
        <f t="shared" si="6"/>
        <v>11047.125600000003</v>
      </c>
      <c r="J17" s="34">
        <f t="shared" si="7"/>
        <v>7014.0480000000007</v>
      </c>
      <c r="K17" s="34">
        <f t="shared" si="8"/>
        <v>96925.375800000009</v>
      </c>
      <c r="L17" s="40">
        <f>7946+81</f>
        <v>8027</v>
      </c>
      <c r="M17" s="34">
        <f t="shared" si="9"/>
        <v>1146.7142857142858</v>
      </c>
      <c r="N17" s="34">
        <f>'[2]2021 за год '!L18/7*3</f>
        <v>3604.7142857142862</v>
      </c>
      <c r="O17" s="37">
        <v>751.16</v>
      </c>
      <c r="P17" s="36">
        <f t="shared" si="0"/>
        <v>62.596666666666664</v>
      </c>
      <c r="Q17" s="35">
        <f>'[2]2021 за год '!M18/12*3</f>
        <v>262.89999999999998</v>
      </c>
      <c r="R17" s="37">
        <v>423</v>
      </c>
      <c r="S17" s="36">
        <f t="shared" si="10"/>
        <v>105.75</v>
      </c>
      <c r="T17" s="37">
        <v>669</v>
      </c>
      <c r="U17" s="37">
        <f t="shared" si="11"/>
        <v>167.25</v>
      </c>
      <c r="V17" s="78"/>
      <c r="W17" s="79"/>
      <c r="X17" s="24">
        <f t="shared" si="12"/>
        <v>101128.58675238096</v>
      </c>
    </row>
    <row r="18" spans="1:24" s="6" customFormat="1" ht="15.75" hidden="1">
      <c r="A18" s="41">
        <v>12</v>
      </c>
      <c r="B18" s="42" t="s">
        <v>36</v>
      </c>
      <c r="C18" s="43">
        <f>'[1]Свод '!$J$17/1000</f>
        <v>15896.303081448099</v>
      </c>
      <c r="D18" s="33">
        <f t="shared" si="1"/>
        <v>858.40036639819732</v>
      </c>
      <c r="E18" s="33">
        <f t="shared" si="2"/>
        <v>500.7335470656152</v>
      </c>
      <c r="F18" s="33">
        <f t="shared" si="3"/>
        <v>317.92606162896197</v>
      </c>
      <c r="G18" s="34">
        <f t="shared" si="4"/>
        <v>190755.63697737717</v>
      </c>
      <c r="H18" s="34">
        <f t="shared" si="5"/>
        <v>10300.804396778367</v>
      </c>
      <c r="I18" s="34">
        <f t="shared" si="6"/>
        <v>6008.802564787381</v>
      </c>
      <c r="J18" s="34">
        <f t="shared" si="7"/>
        <v>3815.1127395475437</v>
      </c>
      <c r="K18" s="34">
        <f t="shared" si="8"/>
        <v>52720.089169622617</v>
      </c>
      <c r="L18" s="40">
        <f>10880+81</f>
        <v>10961</v>
      </c>
      <c r="M18" s="34">
        <f t="shared" si="9"/>
        <v>1565.8571428571429</v>
      </c>
      <c r="N18" s="34">
        <f>'[2]2021 за год '!L19/7*3</f>
        <v>5091.4285714285716</v>
      </c>
      <c r="O18" s="37">
        <v>1741.62</v>
      </c>
      <c r="P18" s="36">
        <f t="shared" si="0"/>
        <v>145.13499999999999</v>
      </c>
      <c r="Q18" s="35">
        <f>'[2]2021 за год '!M19/12*3</f>
        <v>460.4</v>
      </c>
      <c r="R18" s="37">
        <v>503</v>
      </c>
      <c r="S18" s="36">
        <f t="shared" si="10"/>
        <v>125.75</v>
      </c>
      <c r="T18" s="37">
        <v>362</v>
      </c>
      <c r="U18" s="37">
        <f t="shared" si="11"/>
        <v>90.5</v>
      </c>
      <c r="V18" s="78"/>
      <c r="W18" s="79"/>
      <c r="X18" s="24">
        <f t="shared" si="12"/>
        <v>58633.302741051193</v>
      </c>
    </row>
    <row r="19" spans="1:24" s="6" customFormat="1" ht="15.75" hidden="1">
      <c r="A19" s="41">
        <v>13</v>
      </c>
      <c r="B19" s="42" t="s">
        <v>37</v>
      </c>
      <c r="C19" s="43">
        <v>11082.2</v>
      </c>
      <c r="D19" s="33">
        <f t="shared" si="1"/>
        <v>598.43880000000001</v>
      </c>
      <c r="E19" s="33">
        <f t="shared" si="2"/>
        <v>349.08930000000009</v>
      </c>
      <c r="F19" s="33">
        <f t="shared" si="3"/>
        <v>221.64400000000001</v>
      </c>
      <c r="G19" s="34">
        <f t="shared" si="4"/>
        <v>132986.40000000002</v>
      </c>
      <c r="H19" s="34">
        <f t="shared" si="5"/>
        <v>7181.2656000000015</v>
      </c>
      <c r="I19" s="34">
        <f t="shared" si="6"/>
        <v>4189.0716000000011</v>
      </c>
      <c r="J19" s="34">
        <f t="shared" si="7"/>
        <v>2659.7280000000005</v>
      </c>
      <c r="K19" s="34">
        <f t="shared" si="8"/>
        <v>36754.116300000002</v>
      </c>
      <c r="L19" s="40">
        <f>17521+81</f>
        <v>17602</v>
      </c>
      <c r="M19" s="34">
        <f t="shared" si="9"/>
        <v>2514.5714285714284</v>
      </c>
      <c r="N19" s="34">
        <f>'[2]2021 за год '!L20/7*3</f>
        <v>7337.1428571428569</v>
      </c>
      <c r="O19" s="37">
        <v>1167.3</v>
      </c>
      <c r="P19" s="36">
        <f t="shared" si="0"/>
        <v>97.274999999999991</v>
      </c>
      <c r="Q19" s="35">
        <f>'[2]2021 за год '!M20/12*3</f>
        <v>316.82499999999999</v>
      </c>
      <c r="R19" s="37">
        <v>304</v>
      </c>
      <c r="S19" s="36">
        <f t="shared" si="10"/>
        <v>76</v>
      </c>
      <c r="T19" s="37">
        <v>148</v>
      </c>
      <c r="U19" s="37">
        <f t="shared" si="11"/>
        <v>37</v>
      </c>
      <c r="V19" s="78"/>
      <c r="W19" s="79"/>
      <c r="X19" s="24">
        <f t="shared" si="12"/>
        <v>44618.359157142855</v>
      </c>
    </row>
    <row r="20" spans="1:24" s="6" customFormat="1" ht="31.5">
      <c r="A20" s="41">
        <v>14</v>
      </c>
      <c r="B20" s="42" t="s">
        <v>38</v>
      </c>
      <c r="C20" s="44">
        <f>'[1]Свод '!$J$20/1000</f>
        <v>5306.275801244974</v>
      </c>
      <c r="D20" s="45">
        <f t="shared" si="1"/>
        <v>286.53889326722856</v>
      </c>
      <c r="E20" s="45">
        <f t="shared" si="2"/>
        <v>167.14768773921671</v>
      </c>
      <c r="F20" s="45">
        <f t="shared" si="3"/>
        <v>106.12551602489948</v>
      </c>
      <c r="G20" s="34">
        <f t="shared" si="4"/>
        <v>63675.309614939688</v>
      </c>
      <c r="H20" s="46">
        <f t="shared" si="5"/>
        <v>3438.4667192067432</v>
      </c>
      <c r="I20" s="46">
        <f t="shared" si="6"/>
        <v>2005.7722528706004</v>
      </c>
      <c r="J20" s="46">
        <f t="shared" si="7"/>
        <v>1273.5061922987938</v>
      </c>
      <c r="K20" s="34">
        <f t="shared" si="8"/>
        <v>17598.263694828958</v>
      </c>
      <c r="L20" s="24">
        <f>9196+81</f>
        <v>9277</v>
      </c>
      <c r="M20" s="34">
        <f t="shared" si="9"/>
        <v>1325.2857142857142</v>
      </c>
      <c r="N20" s="34">
        <f>'[2]2021 за год '!L21/7*3</f>
        <v>3282.8571428571427</v>
      </c>
      <c r="O20" s="47">
        <v>370.74</v>
      </c>
      <c r="P20" s="36">
        <f t="shared" si="0"/>
        <v>30.895</v>
      </c>
      <c r="Q20" s="35">
        <f>'[2]2021 за год '!M21/12*3</f>
        <v>117.685</v>
      </c>
      <c r="R20" s="47">
        <v>155</v>
      </c>
      <c r="S20" s="36">
        <f t="shared" si="10"/>
        <v>38.75</v>
      </c>
      <c r="T20" s="47">
        <v>50</v>
      </c>
      <c r="U20" s="37">
        <f t="shared" si="11"/>
        <v>12.5</v>
      </c>
      <c r="V20" s="78"/>
      <c r="W20" s="79"/>
      <c r="X20" s="24">
        <f t="shared" si="12"/>
        <v>21080.950837686101</v>
      </c>
    </row>
    <row r="21" spans="1:24" s="6" customFormat="1" ht="15.75" hidden="1">
      <c r="A21" s="41">
        <v>15</v>
      </c>
      <c r="B21" s="42" t="s">
        <v>39</v>
      </c>
      <c r="C21" s="43">
        <f>'[1]Свод '!$J$19/1000</f>
        <v>7732.1278151980987</v>
      </c>
      <c r="D21" s="33">
        <f t="shared" si="1"/>
        <v>417.5349020206973</v>
      </c>
      <c r="E21" s="33">
        <f t="shared" si="2"/>
        <v>243.56202617874013</v>
      </c>
      <c r="F21" s="33">
        <f t="shared" si="3"/>
        <v>154.64255630396198</v>
      </c>
      <c r="G21" s="34">
        <f t="shared" si="4"/>
        <v>92785.533782377184</v>
      </c>
      <c r="H21" s="34">
        <f t="shared" si="5"/>
        <v>5010.4188242483679</v>
      </c>
      <c r="I21" s="34">
        <f t="shared" si="6"/>
        <v>2922.7443141448816</v>
      </c>
      <c r="J21" s="34">
        <f t="shared" si="7"/>
        <v>1855.7106756475437</v>
      </c>
      <c r="K21" s="34">
        <f t="shared" si="8"/>
        <v>25643.601899104495</v>
      </c>
      <c r="L21" s="40">
        <f>9905+81</f>
        <v>9986</v>
      </c>
      <c r="M21" s="34">
        <f t="shared" si="9"/>
        <v>1426.5714285714287</v>
      </c>
      <c r="N21" s="34">
        <f>'[2]2021 за год '!L22/7*3</f>
        <v>3816</v>
      </c>
      <c r="O21" s="37">
        <v>439.3</v>
      </c>
      <c r="P21" s="36">
        <f t="shared" si="0"/>
        <v>36.608333333333334</v>
      </c>
      <c r="Q21" s="35">
        <f>'[2]2021 за год '!M22/12*3</f>
        <v>144.82499999999999</v>
      </c>
      <c r="R21" s="37">
        <v>354</v>
      </c>
      <c r="S21" s="36">
        <f t="shared" si="10"/>
        <v>88.5</v>
      </c>
      <c r="T21" s="37">
        <v>50</v>
      </c>
      <c r="U21" s="37">
        <f t="shared" si="11"/>
        <v>12.5</v>
      </c>
      <c r="V21" s="78"/>
      <c r="W21" s="79"/>
      <c r="X21" s="24">
        <f t="shared" si="12"/>
        <v>29742.035232437829</v>
      </c>
    </row>
    <row r="22" spans="1:24" s="6" customFormat="1" ht="15.75" hidden="1">
      <c r="A22" s="41">
        <v>16</v>
      </c>
      <c r="B22" s="42" t="s">
        <v>40</v>
      </c>
      <c r="C22" s="43">
        <f>'[1]Свод '!$J$23/1000</f>
        <v>14444.194371994976</v>
      </c>
      <c r="D22" s="33">
        <f t="shared" si="1"/>
        <v>779.9864960877286</v>
      </c>
      <c r="E22" s="33">
        <f t="shared" si="2"/>
        <v>454.99212271784177</v>
      </c>
      <c r="F22" s="33">
        <f t="shared" si="3"/>
        <v>288.88388743989952</v>
      </c>
      <c r="G22" s="34">
        <f t="shared" si="4"/>
        <v>173330.3324639397</v>
      </c>
      <c r="H22" s="34">
        <f t="shared" si="5"/>
        <v>9359.8379530527436</v>
      </c>
      <c r="I22" s="34">
        <f t="shared" si="6"/>
        <v>5459.9054726141003</v>
      </c>
      <c r="J22" s="34">
        <f t="shared" si="7"/>
        <v>3466.6066492787941</v>
      </c>
      <c r="K22" s="34">
        <f t="shared" si="8"/>
        <v>47904.17063472134</v>
      </c>
      <c r="L22" s="40">
        <f>10120.66+81</f>
        <v>10201.66</v>
      </c>
      <c r="M22" s="34">
        <f t="shared" si="9"/>
        <v>1457.3799999999999</v>
      </c>
      <c r="N22" s="34">
        <f>'[2]2021 за год '!L23/7*3</f>
        <v>4522.7142857142862</v>
      </c>
      <c r="O22" s="37">
        <v>781.85</v>
      </c>
      <c r="P22" s="36">
        <f t="shared" si="0"/>
        <v>65.154166666666669</v>
      </c>
      <c r="Q22" s="35">
        <f>'[2]2021 за год '!M23/12*3</f>
        <v>221.09750000000003</v>
      </c>
      <c r="R22" s="37">
        <v>211</v>
      </c>
      <c r="S22" s="36">
        <f t="shared" si="10"/>
        <v>52.75</v>
      </c>
      <c r="T22" s="37">
        <v>50</v>
      </c>
      <c r="U22" s="37">
        <f t="shared" si="11"/>
        <v>12.5</v>
      </c>
      <c r="V22" s="78"/>
      <c r="W22" s="79"/>
      <c r="X22" s="24">
        <f t="shared" si="12"/>
        <v>52778.386587102294</v>
      </c>
    </row>
    <row r="23" spans="1:24" s="6" customFormat="1" ht="15.75" hidden="1">
      <c r="A23" s="41">
        <v>17</v>
      </c>
      <c r="B23" s="42" t="s">
        <v>41</v>
      </c>
      <c r="C23" s="43">
        <f>'[1]Свод '!$J$21/1000</f>
        <v>7141.3797636512872</v>
      </c>
      <c r="D23" s="33">
        <f t="shared" si="1"/>
        <v>385.63450723716949</v>
      </c>
      <c r="E23" s="33">
        <f t="shared" si="2"/>
        <v>224.95346255501559</v>
      </c>
      <c r="F23" s="33">
        <f t="shared" si="3"/>
        <v>142.82759527302574</v>
      </c>
      <c r="G23" s="34">
        <f t="shared" si="4"/>
        <v>85696.557163815451</v>
      </c>
      <c r="H23" s="34">
        <f t="shared" si="5"/>
        <v>4627.6140868460343</v>
      </c>
      <c r="I23" s="34">
        <f t="shared" si="6"/>
        <v>2699.4415506601867</v>
      </c>
      <c r="J23" s="34">
        <f t="shared" si="7"/>
        <v>1713.9311432763091</v>
      </c>
      <c r="K23" s="34">
        <f t="shared" si="8"/>
        <v>23684.385986149493</v>
      </c>
      <c r="L23" s="40">
        <f>12117+81</f>
        <v>12198</v>
      </c>
      <c r="M23" s="34">
        <f t="shared" si="9"/>
        <v>1742.5714285714287</v>
      </c>
      <c r="N23" s="34">
        <f>'[2]2021 за год '!L24/7*3</f>
        <v>4738.7142857142862</v>
      </c>
      <c r="O23" s="37">
        <v>717.5</v>
      </c>
      <c r="P23" s="36">
        <f t="shared" si="0"/>
        <v>59.791666666666664</v>
      </c>
      <c r="Q23" s="35">
        <f>'[2]2021 за год '!M24/12*3</f>
        <v>204.375</v>
      </c>
      <c r="R23" s="37">
        <v>171</v>
      </c>
      <c r="S23" s="36">
        <f t="shared" si="10"/>
        <v>42.75</v>
      </c>
      <c r="T23" s="37">
        <v>50</v>
      </c>
      <c r="U23" s="37">
        <f t="shared" si="11"/>
        <v>12.5</v>
      </c>
      <c r="V23" s="78"/>
      <c r="W23" s="79"/>
      <c r="X23" s="24">
        <f t="shared" si="12"/>
        <v>28742.516938530447</v>
      </c>
    </row>
    <row r="24" spans="1:24" s="6" customFormat="1" ht="15.75" hidden="1">
      <c r="A24" s="41">
        <v>18</v>
      </c>
      <c r="B24" s="42" t="s">
        <v>42</v>
      </c>
      <c r="C24" s="43">
        <f>'[1]Свод '!$J$22/1000</f>
        <v>6462.7369432606001</v>
      </c>
      <c r="D24" s="33">
        <f t="shared" si="1"/>
        <v>348.98779493607242</v>
      </c>
      <c r="E24" s="33">
        <f t="shared" si="2"/>
        <v>203.57621371270892</v>
      </c>
      <c r="F24" s="33">
        <f t="shared" si="3"/>
        <v>129.254738865212</v>
      </c>
      <c r="G24" s="34">
        <f t="shared" si="4"/>
        <v>77552.843319127205</v>
      </c>
      <c r="H24" s="34">
        <f t="shared" si="5"/>
        <v>4187.8535392328695</v>
      </c>
      <c r="I24" s="34">
        <f t="shared" si="6"/>
        <v>2442.9145645525073</v>
      </c>
      <c r="J24" s="34">
        <f t="shared" si="7"/>
        <v>1551.0568663825441</v>
      </c>
      <c r="K24" s="34">
        <f t="shared" si="8"/>
        <v>21433.66707232378</v>
      </c>
      <c r="L24" s="40">
        <f>5988+81</f>
        <v>6069</v>
      </c>
      <c r="M24" s="34">
        <f t="shared" si="9"/>
        <v>867</v>
      </c>
      <c r="N24" s="34">
        <f>'[2]2021 за год '!L25/7*3</f>
        <v>1995</v>
      </c>
      <c r="O24" s="37">
        <v>217.03</v>
      </c>
      <c r="P24" s="36">
        <f t="shared" si="0"/>
        <v>18.085833333333333</v>
      </c>
      <c r="Q24" s="35">
        <f>'[2]2021 за год '!M25/12*3</f>
        <v>69.257499999999993</v>
      </c>
      <c r="R24" s="37">
        <v>155</v>
      </c>
      <c r="S24" s="36">
        <f t="shared" si="10"/>
        <v>38.75</v>
      </c>
      <c r="T24" s="37">
        <v>50</v>
      </c>
      <c r="U24" s="37">
        <f t="shared" si="11"/>
        <v>12.5</v>
      </c>
      <c r="V24" s="78"/>
      <c r="W24" s="79"/>
      <c r="X24" s="24">
        <f t="shared" si="12"/>
        <v>23567.260405657114</v>
      </c>
    </row>
    <row r="25" spans="1:24" s="6" customFormat="1" ht="15.75" hidden="1">
      <c r="A25" s="41">
        <v>19</v>
      </c>
      <c r="B25" s="42" t="s">
        <v>43</v>
      </c>
      <c r="C25" s="43">
        <f>'[1]Свод '!$J$24/1000</f>
        <v>9823.1824827918481</v>
      </c>
      <c r="D25" s="33">
        <f t="shared" si="1"/>
        <v>530.45185407075974</v>
      </c>
      <c r="E25" s="33">
        <f t="shared" si="2"/>
        <v>309.43024820794324</v>
      </c>
      <c r="F25" s="33">
        <f t="shared" si="3"/>
        <v>196.46364965583697</v>
      </c>
      <c r="G25" s="34">
        <f t="shared" si="4"/>
        <v>117878.18979350218</v>
      </c>
      <c r="H25" s="34">
        <f t="shared" si="5"/>
        <v>6365.4222488491178</v>
      </c>
      <c r="I25" s="34">
        <f t="shared" si="6"/>
        <v>3713.1629784953188</v>
      </c>
      <c r="J25" s="34">
        <f t="shared" si="7"/>
        <v>2357.5637958700436</v>
      </c>
      <c r="K25" s="34">
        <f t="shared" si="8"/>
        <v>32578.584704179168</v>
      </c>
      <c r="L25" s="40">
        <f>11536+81</f>
        <v>11617</v>
      </c>
      <c r="M25" s="34">
        <f t="shared" si="9"/>
        <v>1659.5714285714287</v>
      </c>
      <c r="N25" s="34">
        <f>'[2]2021 за год '!L26/7*3</f>
        <v>5143.2857142857138</v>
      </c>
      <c r="O25" s="37">
        <v>4144.1000000000004</v>
      </c>
      <c r="P25" s="36">
        <f t="shared" si="0"/>
        <v>345.3416666666667</v>
      </c>
      <c r="Q25" s="35">
        <f>'[2]2021 за год '!M26/12*3</f>
        <v>1048.5250000000001</v>
      </c>
      <c r="R25" s="37">
        <v>354</v>
      </c>
      <c r="S25" s="36">
        <f t="shared" si="10"/>
        <v>88.5</v>
      </c>
      <c r="T25" s="37">
        <v>200</v>
      </c>
      <c r="U25" s="37">
        <f t="shared" si="11"/>
        <v>50</v>
      </c>
      <c r="V25" s="78"/>
      <c r="W25" s="79"/>
      <c r="X25" s="24">
        <f t="shared" si="12"/>
        <v>39254.23708513155</v>
      </c>
    </row>
    <row r="26" spans="1:24" s="6" customFormat="1" ht="15.75" hidden="1">
      <c r="A26" s="41">
        <v>20</v>
      </c>
      <c r="B26" s="42" t="s">
        <v>44</v>
      </c>
      <c r="C26" s="43">
        <f>'[1]Свод '!$J$26/1000</f>
        <v>4381.3013616408089</v>
      </c>
      <c r="D26" s="43">
        <f t="shared" si="1"/>
        <v>236.59027352860369</v>
      </c>
      <c r="E26" s="43">
        <f t="shared" si="2"/>
        <v>138.0109928916855</v>
      </c>
      <c r="F26" s="43">
        <f t="shared" si="3"/>
        <v>87.626027232816185</v>
      </c>
      <c r="G26" s="34">
        <f t="shared" si="4"/>
        <v>52575.616339689703</v>
      </c>
      <c r="H26" s="34">
        <f t="shared" si="5"/>
        <v>2839.0832823432438</v>
      </c>
      <c r="I26" s="34">
        <f t="shared" si="6"/>
        <v>1656.1319147002257</v>
      </c>
      <c r="J26" s="34">
        <f t="shared" si="7"/>
        <v>1051.512326793794</v>
      </c>
      <c r="K26" s="34">
        <f t="shared" si="8"/>
        <v>14530.585965881743</v>
      </c>
      <c r="L26" s="40">
        <f>6513+81</f>
        <v>6594</v>
      </c>
      <c r="M26" s="34">
        <f t="shared" si="9"/>
        <v>942</v>
      </c>
      <c r="N26" s="34">
        <f>'[2]2021 за год '!L27/7*3</f>
        <v>2234.5714285714284</v>
      </c>
      <c r="O26" s="37">
        <v>528.58000000000004</v>
      </c>
      <c r="P26" s="36">
        <f t="shared" si="0"/>
        <v>44.048333333333339</v>
      </c>
      <c r="Q26" s="35">
        <f>'[2]2021 за год '!M27/12*3</f>
        <v>149.64500000000001</v>
      </c>
      <c r="R26" s="37">
        <v>300</v>
      </c>
      <c r="S26" s="36">
        <f t="shared" si="10"/>
        <v>75</v>
      </c>
      <c r="T26" s="37">
        <v>50</v>
      </c>
      <c r="U26" s="37">
        <f t="shared" si="11"/>
        <v>12.5</v>
      </c>
      <c r="V26" s="78"/>
      <c r="W26" s="79"/>
      <c r="X26" s="24">
        <f t="shared" si="12"/>
        <v>17046.350727786503</v>
      </c>
    </row>
    <row r="27" spans="1:24" s="6" customFormat="1" ht="15.75" hidden="1">
      <c r="A27" s="41">
        <v>21</v>
      </c>
      <c r="B27" s="42" t="s">
        <v>45</v>
      </c>
      <c r="C27" s="43">
        <f>'[1]Свод '!$J$25/1000</f>
        <v>6848.2695907918487</v>
      </c>
      <c r="D27" s="33">
        <f t="shared" si="1"/>
        <v>369.80655790275978</v>
      </c>
      <c r="E27" s="33">
        <f t="shared" si="2"/>
        <v>215.72049210994325</v>
      </c>
      <c r="F27" s="33">
        <f t="shared" si="3"/>
        <v>136.96539181583697</v>
      </c>
      <c r="G27" s="34">
        <f t="shared" si="4"/>
        <v>82179.235089502181</v>
      </c>
      <c r="H27" s="34">
        <f t="shared" si="5"/>
        <v>4437.6786948331173</v>
      </c>
      <c r="I27" s="34">
        <f t="shared" si="6"/>
        <v>2588.6459053193189</v>
      </c>
      <c r="J27" s="34">
        <f t="shared" si="7"/>
        <v>1643.5847017900437</v>
      </c>
      <c r="K27" s="34">
        <f t="shared" si="8"/>
        <v>22712.286097861164</v>
      </c>
      <c r="L27" s="40">
        <f>6694+81</f>
        <v>6775</v>
      </c>
      <c r="M27" s="34">
        <f t="shared" si="9"/>
        <v>967.85714285714289</v>
      </c>
      <c r="N27" s="34">
        <f>'[2]2021 за год '!L28/7*3</f>
        <v>2295</v>
      </c>
      <c r="O27" s="37">
        <v>226.1</v>
      </c>
      <c r="P27" s="36">
        <f t="shared" si="0"/>
        <v>18.841666666666665</v>
      </c>
      <c r="Q27" s="35">
        <f>'[2]2021 за год '!M28/12*3</f>
        <v>99.025000000000006</v>
      </c>
      <c r="R27" s="37">
        <v>354</v>
      </c>
      <c r="S27" s="36">
        <f t="shared" si="10"/>
        <v>88.5</v>
      </c>
      <c r="T27" s="37">
        <v>50</v>
      </c>
      <c r="U27" s="37">
        <f t="shared" si="11"/>
        <v>12.5</v>
      </c>
      <c r="V27" s="78"/>
      <c r="W27" s="79"/>
      <c r="X27" s="24">
        <f t="shared" si="12"/>
        <v>25226.152764527833</v>
      </c>
    </row>
    <row r="28" spans="1:24" s="6" customFormat="1" ht="15.75" hidden="1">
      <c r="A28" s="41">
        <v>22</v>
      </c>
      <c r="B28" s="42" t="s">
        <v>46</v>
      </c>
      <c r="C28" s="43">
        <f>'[1]Свод '!$J$31/1000</f>
        <v>7591.4033973699752</v>
      </c>
      <c r="D28" s="33">
        <f t="shared" si="1"/>
        <v>409.93578345797863</v>
      </c>
      <c r="E28" s="33">
        <f t="shared" si="2"/>
        <v>239.12920701715424</v>
      </c>
      <c r="F28" s="33">
        <f t="shared" si="3"/>
        <v>151.82806794739952</v>
      </c>
      <c r="G28" s="34">
        <f t="shared" si="4"/>
        <v>91096.840768439695</v>
      </c>
      <c r="H28" s="34">
        <f t="shared" si="5"/>
        <v>4919.2294014957433</v>
      </c>
      <c r="I28" s="34">
        <f t="shared" si="6"/>
        <v>2869.5504842058504</v>
      </c>
      <c r="J28" s="34">
        <f t="shared" si="7"/>
        <v>1821.936815368794</v>
      </c>
      <c r="K28" s="34">
        <f t="shared" si="8"/>
        <v>25176.889367377524</v>
      </c>
      <c r="L28" s="40">
        <f>6855+81</f>
        <v>6936</v>
      </c>
      <c r="M28" s="34">
        <f t="shared" si="9"/>
        <v>990.85714285714289</v>
      </c>
      <c r="N28" s="34">
        <f>'[2]2021 за год '!L29/7*3</f>
        <v>2723.5714285714284</v>
      </c>
      <c r="O28" s="37">
        <v>366.79</v>
      </c>
      <c r="P28" s="36">
        <f t="shared" si="0"/>
        <v>30.565833333333334</v>
      </c>
      <c r="Q28" s="35">
        <f>'[2]2021 за год '!M29/12*3</f>
        <v>91.697500000000005</v>
      </c>
      <c r="R28" s="37">
        <v>354</v>
      </c>
      <c r="S28" s="36">
        <f t="shared" si="10"/>
        <v>88.5</v>
      </c>
      <c r="T28" s="37">
        <v>50</v>
      </c>
      <c r="U28" s="37">
        <f t="shared" si="11"/>
        <v>12.5</v>
      </c>
      <c r="V28" s="78"/>
      <c r="W28" s="79"/>
      <c r="X28" s="24">
        <f t="shared" si="12"/>
        <v>28123.724129282284</v>
      </c>
    </row>
    <row r="29" spans="1:24" s="6" customFormat="1" ht="15.75" hidden="1">
      <c r="A29" s="41">
        <v>23</v>
      </c>
      <c r="B29" s="42" t="s">
        <v>47</v>
      </c>
      <c r="C29" s="43">
        <f>'[1]Свод '!$J$27/1000</f>
        <v>8205.6325673637239</v>
      </c>
      <c r="D29" s="33">
        <f t="shared" si="1"/>
        <v>443.10415863764104</v>
      </c>
      <c r="E29" s="33">
        <f t="shared" si="2"/>
        <v>258.47742587195734</v>
      </c>
      <c r="F29" s="33">
        <f t="shared" si="3"/>
        <v>164.11265134727449</v>
      </c>
      <c r="G29" s="34">
        <f t="shared" si="4"/>
        <v>98467.590808364679</v>
      </c>
      <c r="H29" s="34">
        <f t="shared" si="5"/>
        <v>5317.2499036516929</v>
      </c>
      <c r="I29" s="34">
        <f t="shared" si="6"/>
        <v>3101.7291104634878</v>
      </c>
      <c r="J29" s="34">
        <f t="shared" si="7"/>
        <v>1969.3518161672937</v>
      </c>
      <c r="K29" s="34">
        <f t="shared" si="8"/>
        <v>27213.980409661788</v>
      </c>
      <c r="L29" s="40">
        <f>9969+81</f>
        <v>10050</v>
      </c>
      <c r="M29" s="34">
        <f t="shared" si="9"/>
        <v>1435.7142857142858</v>
      </c>
      <c r="N29" s="34">
        <f>'[2]2021 за год '!L30/7*3</f>
        <v>4008</v>
      </c>
      <c r="O29" s="37">
        <v>557.79999999999995</v>
      </c>
      <c r="P29" s="36">
        <f t="shared" si="0"/>
        <v>46.483333333333327</v>
      </c>
      <c r="Q29" s="35">
        <f>'[2]2021 за год '!M30/12*3</f>
        <v>164.45</v>
      </c>
      <c r="R29" s="37">
        <v>360</v>
      </c>
      <c r="S29" s="36">
        <f t="shared" si="10"/>
        <v>90</v>
      </c>
      <c r="T29" s="37">
        <v>50</v>
      </c>
      <c r="U29" s="37">
        <f t="shared" si="11"/>
        <v>12.5</v>
      </c>
      <c r="V29" s="78"/>
      <c r="W29" s="79"/>
      <c r="X29" s="24">
        <f t="shared" si="12"/>
        <v>31535.413742995122</v>
      </c>
    </row>
    <row r="30" spans="1:24" s="6" customFormat="1" ht="15.75" hidden="1">
      <c r="A30" s="41">
        <v>24</v>
      </c>
      <c r="B30" s="42" t="s">
        <v>48</v>
      </c>
      <c r="C30" s="43">
        <f>'[1]Свод '!$J$28/1000</f>
        <v>9770.7607949533067</v>
      </c>
      <c r="D30" s="33">
        <f t="shared" si="1"/>
        <v>527.62108292747848</v>
      </c>
      <c r="E30" s="33">
        <f t="shared" si="2"/>
        <v>307.77896504102915</v>
      </c>
      <c r="F30" s="33">
        <f t="shared" si="3"/>
        <v>195.41521589906614</v>
      </c>
      <c r="G30" s="34">
        <f t="shared" si="4"/>
        <v>117249.12953943969</v>
      </c>
      <c r="H30" s="34">
        <f t="shared" si="5"/>
        <v>6331.4529951297427</v>
      </c>
      <c r="I30" s="34">
        <f t="shared" si="6"/>
        <v>3693.3475804923505</v>
      </c>
      <c r="J30" s="34">
        <f t="shared" si="7"/>
        <v>2344.9825907887939</v>
      </c>
      <c r="K30" s="34">
        <f t="shared" si="8"/>
        <v>32404.728176462639</v>
      </c>
      <c r="L30" s="40">
        <f>'[3]прогноз на 2020 г'!$D$13/1000</f>
        <v>2544.9717626000001</v>
      </c>
      <c r="M30" s="34">
        <f t="shared" si="9"/>
        <v>363.56739465714287</v>
      </c>
      <c r="N30" s="34">
        <f>'[2]2021 за год '!L31/7*3</f>
        <v>1090.7021839714287</v>
      </c>
      <c r="O30" s="37">
        <v>192.5</v>
      </c>
      <c r="P30" s="36">
        <f t="shared" si="0"/>
        <v>16.041666666666668</v>
      </c>
      <c r="Q30" s="35">
        <f>'[2]2021 за год '!M31/12*3</f>
        <v>98.125</v>
      </c>
      <c r="R30" s="37">
        <v>199</v>
      </c>
      <c r="S30" s="36">
        <f t="shared" si="10"/>
        <v>49.75</v>
      </c>
      <c r="T30" s="37">
        <v>50</v>
      </c>
      <c r="U30" s="37">
        <f t="shared" si="11"/>
        <v>12.5</v>
      </c>
      <c r="V30" s="78"/>
      <c r="W30" s="79"/>
      <c r="X30" s="24">
        <f t="shared" si="12"/>
        <v>33671.847027100732</v>
      </c>
    </row>
    <row r="31" spans="1:24" s="6" customFormat="1" ht="15.75" hidden="1">
      <c r="A31" s="41">
        <v>25</v>
      </c>
      <c r="B31" s="42" t="s">
        <v>49</v>
      </c>
      <c r="C31" s="43">
        <f>'[1]Свод '!$J$32/1000</f>
        <v>6678.4900416564324</v>
      </c>
      <c r="D31" s="33">
        <f t="shared" si="1"/>
        <v>360.63846224944734</v>
      </c>
      <c r="E31" s="33">
        <f t="shared" si="2"/>
        <v>210.37243631217763</v>
      </c>
      <c r="F31" s="33">
        <f t="shared" si="3"/>
        <v>133.56980083312865</v>
      </c>
      <c r="G31" s="34">
        <f t="shared" si="4"/>
        <v>80141.880499877181</v>
      </c>
      <c r="H31" s="34">
        <f t="shared" si="5"/>
        <v>4327.6615469933677</v>
      </c>
      <c r="I31" s="34">
        <f t="shared" si="6"/>
        <v>2524.4692357461317</v>
      </c>
      <c r="J31" s="34">
        <f t="shared" si="7"/>
        <v>1602.8376099975437</v>
      </c>
      <c r="K31" s="34">
        <f t="shared" si="8"/>
        <v>22149.212223153554</v>
      </c>
      <c r="L31" s="40">
        <f>13859+81</f>
        <v>13940</v>
      </c>
      <c r="M31" s="34">
        <f t="shared" si="9"/>
        <v>1991.4285714285713</v>
      </c>
      <c r="N31" s="34">
        <f>'[2]2021 за год '!L32/7*3</f>
        <v>5746.2857142857138</v>
      </c>
      <c r="O31" s="37">
        <v>302.5</v>
      </c>
      <c r="P31" s="36">
        <f t="shared" si="0"/>
        <v>25.208333333333332</v>
      </c>
      <c r="Q31" s="35">
        <f>'[2]2021 за год '!M32/12*3</f>
        <v>93.125</v>
      </c>
      <c r="R31" s="37">
        <v>340</v>
      </c>
      <c r="S31" s="36">
        <f t="shared" si="10"/>
        <v>85</v>
      </c>
      <c r="T31" s="37">
        <v>50</v>
      </c>
      <c r="U31" s="37">
        <f t="shared" si="11"/>
        <v>12.5</v>
      </c>
      <c r="V31" s="78"/>
      <c r="W31" s="79"/>
      <c r="X31" s="24">
        <f t="shared" si="12"/>
        <v>28111.3312707726</v>
      </c>
    </row>
    <row r="32" spans="1:24" s="6" customFormat="1" ht="15.75" hidden="1">
      <c r="A32" s="41">
        <v>26</v>
      </c>
      <c r="B32" s="42" t="s">
        <v>50</v>
      </c>
      <c r="C32" s="43">
        <f>'[1]Свод '!$J$29/1000</f>
        <v>10489.088921817891</v>
      </c>
      <c r="D32" s="33">
        <f t="shared" si="1"/>
        <v>566.41080177816605</v>
      </c>
      <c r="E32" s="33">
        <f t="shared" si="2"/>
        <v>330.40630103726357</v>
      </c>
      <c r="F32" s="33">
        <f t="shared" si="3"/>
        <v>209.78177843635783</v>
      </c>
      <c r="G32" s="34">
        <f t="shared" si="4"/>
        <v>125869.06706181468</v>
      </c>
      <c r="H32" s="34">
        <f t="shared" si="5"/>
        <v>6796.9296213379921</v>
      </c>
      <c r="I32" s="34">
        <f t="shared" si="6"/>
        <v>3964.8756124471629</v>
      </c>
      <c r="J32" s="34">
        <f t="shared" si="7"/>
        <v>2517.3813412362938</v>
      </c>
      <c r="K32" s="34">
        <f t="shared" si="8"/>
        <v>34787.063409209033</v>
      </c>
      <c r="L32" s="40">
        <f>10590.54+81</f>
        <v>10671.54</v>
      </c>
      <c r="M32" s="34">
        <f t="shared" si="9"/>
        <v>1524.5057142857145</v>
      </c>
      <c r="N32" s="34">
        <f>'[2]2021 за год '!L33/7*3</f>
        <v>4732.7142857142862</v>
      </c>
      <c r="O32" s="37">
        <v>1173.04</v>
      </c>
      <c r="P32" s="36">
        <f t="shared" si="0"/>
        <v>97.75333333333333</v>
      </c>
      <c r="Q32" s="35">
        <f>'[2]2021 за год '!M33/12*3</f>
        <v>293.26</v>
      </c>
      <c r="R32" s="37">
        <v>354</v>
      </c>
      <c r="S32" s="36">
        <f t="shared" si="10"/>
        <v>88.5</v>
      </c>
      <c r="T32" s="37">
        <v>50</v>
      </c>
      <c r="U32" s="37">
        <f t="shared" si="11"/>
        <v>12.5</v>
      </c>
      <c r="V32" s="78"/>
      <c r="W32" s="79"/>
      <c r="X32" s="24">
        <f t="shared" si="12"/>
        <v>40011.791028256659</v>
      </c>
    </row>
    <row r="33" spans="1:24" s="6" customFormat="1" ht="15.75" hidden="1">
      <c r="A33" s="41">
        <v>27</v>
      </c>
      <c r="B33" s="42" t="s">
        <v>51</v>
      </c>
      <c r="C33" s="43">
        <f>'[1]Свод '!$J$30/1000</f>
        <v>6201.4422744585163</v>
      </c>
      <c r="D33" s="33">
        <f t="shared" si="1"/>
        <v>334.87788282075991</v>
      </c>
      <c r="E33" s="33">
        <f t="shared" si="2"/>
        <v>195.34543164544328</v>
      </c>
      <c r="F33" s="33">
        <f t="shared" si="3"/>
        <v>124.02884548917032</v>
      </c>
      <c r="G33" s="34">
        <f t="shared" si="4"/>
        <v>74417.307293502192</v>
      </c>
      <c r="H33" s="34">
        <f t="shared" si="5"/>
        <v>4018.5345938491178</v>
      </c>
      <c r="I33" s="34">
        <f t="shared" si="6"/>
        <v>2344.1451797453192</v>
      </c>
      <c r="J33" s="34">
        <f t="shared" si="7"/>
        <v>1488.3461458700438</v>
      </c>
      <c r="K33" s="34">
        <f t="shared" si="8"/>
        <v>20567.08330324167</v>
      </c>
      <c r="L33" s="40">
        <f>15287+81</f>
        <v>15368</v>
      </c>
      <c r="M33" s="34">
        <f t="shared" si="9"/>
        <v>2195.4285714285716</v>
      </c>
      <c r="N33" s="34">
        <f>'[2]2021 за год '!L34/7*3</f>
        <v>6122.5714285714284</v>
      </c>
      <c r="O33" s="37">
        <v>604.67999999999995</v>
      </c>
      <c r="P33" s="36">
        <f t="shared" si="0"/>
        <v>50.389999999999993</v>
      </c>
      <c r="Q33" s="35">
        <f>'[2]2021 за год '!M34/12*3</f>
        <v>218.64500000000004</v>
      </c>
      <c r="R33" s="37">
        <v>354</v>
      </c>
      <c r="S33" s="36">
        <f t="shared" si="10"/>
        <v>88.5</v>
      </c>
      <c r="T33" s="37">
        <v>50</v>
      </c>
      <c r="U33" s="37">
        <f t="shared" si="11"/>
        <v>12.5</v>
      </c>
      <c r="V33" s="78"/>
      <c r="W33" s="79"/>
      <c r="X33" s="24">
        <f t="shared" si="12"/>
        <v>27059.689731813098</v>
      </c>
    </row>
    <row r="34" spans="1:24" s="6" customFormat="1" ht="15.75" hidden="1">
      <c r="A34" s="41">
        <v>28</v>
      </c>
      <c r="B34" s="42" t="s">
        <v>52</v>
      </c>
      <c r="C34" s="43">
        <v>16253</v>
      </c>
      <c r="D34" s="33">
        <f t="shared" si="1"/>
        <v>877.66200000000003</v>
      </c>
      <c r="E34" s="33">
        <f t="shared" si="2"/>
        <v>511.9695000000001</v>
      </c>
      <c r="F34" s="33">
        <f t="shared" si="3"/>
        <v>325.06</v>
      </c>
      <c r="G34" s="34">
        <f t="shared" si="4"/>
        <v>195036</v>
      </c>
      <c r="H34" s="34">
        <f t="shared" si="5"/>
        <v>10531.944</v>
      </c>
      <c r="I34" s="34">
        <f t="shared" si="6"/>
        <v>6143.634</v>
      </c>
      <c r="J34" s="34">
        <f t="shared" si="7"/>
        <v>3900.7200000000003</v>
      </c>
      <c r="K34" s="34">
        <f t="shared" si="8"/>
        <v>53903.074500000002</v>
      </c>
      <c r="L34" s="40">
        <f>13750+81</f>
        <v>13831</v>
      </c>
      <c r="M34" s="34">
        <f t="shared" si="9"/>
        <v>1975.8571428571429</v>
      </c>
      <c r="N34" s="34">
        <f>'[2]2021 за год '!L35/7*3</f>
        <v>5035.2857142857138</v>
      </c>
      <c r="O34" s="37">
        <v>1154.5</v>
      </c>
      <c r="P34" s="36">
        <f t="shared" si="0"/>
        <v>96.208333333333329</v>
      </c>
      <c r="Q34" s="35">
        <f>'[2]2021 за год '!M35/12*3</f>
        <v>288.625</v>
      </c>
      <c r="R34" s="37">
        <v>212.2</v>
      </c>
      <c r="S34" s="36">
        <f t="shared" si="10"/>
        <v>53.05</v>
      </c>
      <c r="T34" s="37">
        <v>662</v>
      </c>
      <c r="U34" s="37">
        <f t="shared" si="11"/>
        <v>165.5</v>
      </c>
      <c r="V34" s="78"/>
      <c r="W34" s="79"/>
      <c r="X34" s="24">
        <f t="shared" si="12"/>
        <v>59541.743547619051</v>
      </c>
    </row>
    <row r="35" spans="1:24" s="6" customFormat="1" ht="15.75" hidden="1">
      <c r="A35" s="41">
        <v>29</v>
      </c>
      <c r="B35" s="42" t="s">
        <v>53</v>
      </c>
      <c r="C35" s="43">
        <f>'[1]Свод '!$J$34/1000</f>
        <v>6468.2395284918512</v>
      </c>
      <c r="D35" s="33">
        <f t="shared" si="1"/>
        <v>349.28493453855998</v>
      </c>
      <c r="E35" s="33">
        <f t="shared" si="2"/>
        <v>203.74954514749334</v>
      </c>
      <c r="F35" s="33">
        <f t="shared" si="3"/>
        <v>129.36479056983703</v>
      </c>
      <c r="G35" s="34">
        <f t="shared" si="4"/>
        <v>77618.874341902207</v>
      </c>
      <c r="H35" s="34">
        <f t="shared" si="5"/>
        <v>4191.4192144627186</v>
      </c>
      <c r="I35" s="34">
        <f t="shared" si="6"/>
        <v>2444.9945417699196</v>
      </c>
      <c r="J35" s="34">
        <f t="shared" si="7"/>
        <v>1552.3774868380442</v>
      </c>
      <c r="K35" s="34">
        <f t="shared" si="8"/>
        <v>21451.916396243225</v>
      </c>
      <c r="L35" s="40">
        <f>4881+86</f>
        <v>4967</v>
      </c>
      <c r="M35" s="34">
        <f t="shared" si="9"/>
        <v>709.57142857142856</v>
      </c>
      <c r="N35" s="34">
        <f>'[2]2021 за год '!L36/7*3</f>
        <v>2198.1428571428569</v>
      </c>
      <c r="O35" s="37">
        <v>1237</v>
      </c>
      <c r="P35" s="36">
        <f t="shared" si="0"/>
        <v>103.08333333333333</v>
      </c>
      <c r="Q35" s="35">
        <f>'[2]2021 за год '!M36/12*3</f>
        <v>384.25</v>
      </c>
      <c r="R35" s="37">
        <v>210</v>
      </c>
      <c r="S35" s="36">
        <f t="shared" si="10"/>
        <v>52.5</v>
      </c>
      <c r="T35" s="37">
        <v>37</v>
      </c>
      <c r="U35" s="37">
        <f t="shared" si="11"/>
        <v>9.25</v>
      </c>
      <c r="V35" s="78"/>
      <c r="W35" s="79"/>
      <c r="X35" s="24">
        <f t="shared" si="12"/>
        <v>24199.142586719416</v>
      </c>
    </row>
    <row r="36" spans="1:24" s="6" customFormat="1" ht="15.75" hidden="1">
      <c r="A36" s="41">
        <v>30</v>
      </c>
      <c r="B36" s="42" t="s">
        <v>54</v>
      </c>
      <c r="C36" s="43">
        <f>'[1]Свод '!$J$36/1000</f>
        <v>4405.815049957946</v>
      </c>
      <c r="D36" s="43">
        <f t="shared" si="1"/>
        <v>237.91401269772908</v>
      </c>
      <c r="E36" s="43">
        <f t="shared" si="2"/>
        <v>138.78317407367533</v>
      </c>
      <c r="F36" s="43">
        <f t="shared" si="3"/>
        <v>88.116300999158923</v>
      </c>
      <c r="G36" s="34">
        <f t="shared" si="4"/>
        <v>52869.780599495352</v>
      </c>
      <c r="H36" s="34">
        <f t="shared" si="5"/>
        <v>2854.968152372749</v>
      </c>
      <c r="I36" s="34">
        <f t="shared" si="6"/>
        <v>1665.3980888841038</v>
      </c>
      <c r="J36" s="34">
        <f t="shared" si="7"/>
        <v>1057.3956119899071</v>
      </c>
      <c r="K36" s="34">
        <f t="shared" si="8"/>
        <v>14611.885613185528</v>
      </c>
      <c r="L36" s="40">
        <v>7465</v>
      </c>
      <c r="M36" s="34">
        <f t="shared" si="9"/>
        <v>1066.4285714285713</v>
      </c>
      <c r="N36" s="34">
        <f>'[2]2021 за год '!L37/7*3</f>
        <v>2770.7142857142858</v>
      </c>
      <c r="O36" s="37">
        <v>513.28</v>
      </c>
      <c r="P36" s="36">
        <f t="shared" si="0"/>
        <v>42.773333333333333</v>
      </c>
      <c r="Q36" s="35">
        <f>'[2]2021 за год '!M37/12*3</f>
        <v>203.32</v>
      </c>
      <c r="R36" s="37">
        <v>185</v>
      </c>
      <c r="S36" s="36">
        <f t="shared" si="10"/>
        <v>46.25</v>
      </c>
      <c r="T36" s="37">
        <v>120</v>
      </c>
      <c r="U36" s="37">
        <f t="shared" si="11"/>
        <v>30</v>
      </c>
      <c r="V36" s="78"/>
      <c r="W36" s="79"/>
      <c r="X36" s="24">
        <f t="shared" si="12"/>
        <v>17704.943232233149</v>
      </c>
    </row>
    <row r="37" spans="1:24" s="6" customFormat="1" ht="15.75" hidden="1">
      <c r="A37" s="41">
        <v>31</v>
      </c>
      <c r="B37" s="42" t="s">
        <v>55</v>
      </c>
      <c r="C37" s="43">
        <f>'[1]Свод '!$J$35/1000</f>
        <v>3807.9689260522664</v>
      </c>
      <c r="D37" s="43">
        <f t="shared" si="1"/>
        <v>205.63032200682238</v>
      </c>
      <c r="E37" s="43">
        <f t="shared" si="2"/>
        <v>119.9510211706464</v>
      </c>
      <c r="F37" s="43">
        <f t="shared" si="3"/>
        <v>76.159378521045326</v>
      </c>
      <c r="G37" s="34">
        <f t="shared" si="4"/>
        <v>45695.627112627197</v>
      </c>
      <c r="H37" s="34">
        <f t="shared" si="5"/>
        <v>2467.5638640818684</v>
      </c>
      <c r="I37" s="34">
        <f t="shared" si="6"/>
        <v>1439.412254047757</v>
      </c>
      <c r="J37" s="34">
        <f t="shared" si="7"/>
        <v>913.91254225254397</v>
      </c>
      <c r="K37" s="34">
        <f t="shared" si="8"/>
        <v>12629.128943252341</v>
      </c>
      <c r="L37" s="40">
        <v>6157</v>
      </c>
      <c r="M37" s="34">
        <f t="shared" si="9"/>
        <v>879.57142857142856</v>
      </c>
      <c r="N37" s="34">
        <f>'[2]2021 за год '!L38/7*3</f>
        <v>2304.4285714285716</v>
      </c>
      <c r="O37" s="37">
        <v>181.1</v>
      </c>
      <c r="P37" s="36">
        <f t="shared" si="0"/>
        <v>15.091666666666667</v>
      </c>
      <c r="Q37" s="35">
        <f>'[2]2021 за год '!M38/12*3</f>
        <v>120.30000000000001</v>
      </c>
      <c r="R37" s="37">
        <v>155</v>
      </c>
      <c r="S37" s="36">
        <f t="shared" si="10"/>
        <v>38.75</v>
      </c>
      <c r="T37" s="37">
        <v>30</v>
      </c>
      <c r="U37" s="37">
        <f t="shared" si="11"/>
        <v>7.5</v>
      </c>
      <c r="V37" s="78"/>
      <c r="W37" s="79"/>
      <c r="X37" s="24">
        <f t="shared" si="12"/>
        <v>15115.19918134758</v>
      </c>
    </row>
    <row r="38" spans="1:24" s="6" customFormat="1" ht="15.75" hidden="1">
      <c r="A38" s="41">
        <v>32</v>
      </c>
      <c r="B38" s="42" t="s">
        <v>56</v>
      </c>
      <c r="C38" s="43">
        <f>'[1]Свод '!$J$39/1000</f>
        <v>7587.0912818296629</v>
      </c>
      <c r="D38" s="43">
        <f t="shared" si="1"/>
        <v>409.70292921880178</v>
      </c>
      <c r="E38" s="43">
        <f t="shared" si="2"/>
        <v>238.99337537763441</v>
      </c>
      <c r="F38" s="43">
        <f t="shared" si="3"/>
        <v>151.74182563659326</v>
      </c>
      <c r="G38" s="34">
        <f t="shared" si="4"/>
        <v>91045.095381955951</v>
      </c>
      <c r="H38" s="34">
        <f t="shared" si="5"/>
        <v>4916.4351506256216</v>
      </c>
      <c r="I38" s="34">
        <f t="shared" si="6"/>
        <v>2867.920504531613</v>
      </c>
      <c r="J38" s="34">
        <f t="shared" si="7"/>
        <v>1820.9019076391191</v>
      </c>
      <c r="K38" s="34">
        <f t="shared" si="8"/>
        <v>25162.588236188072</v>
      </c>
      <c r="L38" s="40">
        <v>8515</v>
      </c>
      <c r="M38" s="34">
        <f t="shared" si="9"/>
        <v>1216.4285714285713</v>
      </c>
      <c r="N38" s="34">
        <f>'[2]2021 за год '!L39/7*3</f>
        <v>3220.7142857142862</v>
      </c>
      <c r="O38" s="37">
        <v>262.93</v>
      </c>
      <c r="P38" s="36">
        <f t="shared" si="0"/>
        <v>21.910833333333333</v>
      </c>
      <c r="Q38" s="35">
        <f>'[2]2021 за год '!M39/12*3</f>
        <v>115.625</v>
      </c>
      <c r="R38" s="37">
        <v>233</v>
      </c>
      <c r="S38" s="36">
        <f t="shared" si="10"/>
        <v>58.25</v>
      </c>
      <c r="T38" s="37">
        <v>66</v>
      </c>
      <c r="U38" s="37">
        <f t="shared" si="11"/>
        <v>16.5</v>
      </c>
      <c r="V38" s="78"/>
      <c r="W38" s="79"/>
      <c r="X38" s="24">
        <f t="shared" si="12"/>
        <v>28595.58835523569</v>
      </c>
    </row>
    <row r="39" spans="1:24" s="6" customFormat="1" ht="15.75" hidden="1">
      <c r="A39" s="41">
        <v>33</v>
      </c>
      <c r="B39" s="42" t="s">
        <v>57</v>
      </c>
      <c r="C39" s="43">
        <f>'[1]Свод '!$J$38/1000</f>
        <v>4116.4666800585164</v>
      </c>
      <c r="D39" s="43">
        <f t="shared" si="1"/>
        <v>222.28920072315989</v>
      </c>
      <c r="E39" s="43">
        <f t="shared" si="2"/>
        <v>129.66870042184328</v>
      </c>
      <c r="F39" s="43">
        <f t="shared" si="3"/>
        <v>82.329333601170333</v>
      </c>
      <c r="G39" s="34">
        <f t="shared" si="4"/>
        <v>49397.600160702197</v>
      </c>
      <c r="H39" s="34">
        <f t="shared" si="5"/>
        <v>2667.4704086779184</v>
      </c>
      <c r="I39" s="34">
        <f t="shared" si="6"/>
        <v>1556.0244050621193</v>
      </c>
      <c r="J39" s="34">
        <f t="shared" si="7"/>
        <v>987.952003214044</v>
      </c>
      <c r="K39" s="34">
        <f t="shared" si="8"/>
        <v>13652.261744414071</v>
      </c>
      <c r="L39" s="40">
        <v>8238</v>
      </c>
      <c r="M39" s="34">
        <f t="shared" si="9"/>
        <v>1176.8571428571429</v>
      </c>
      <c r="N39" s="34">
        <f>'[2]2021 за год '!L40/7*3</f>
        <v>3457.7142857142862</v>
      </c>
      <c r="O39" s="37">
        <v>215.53</v>
      </c>
      <c r="P39" s="36">
        <f t="shared" si="0"/>
        <v>17.960833333333333</v>
      </c>
      <c r="Q39" s="35">
        <f>'[2]2021 за год '!M40/12*3</f>
        <v>118.9</v>
      </c>
      <c r="R39" s="37">
        <v>155</v>
      </c>
      <c r="S39" s="36">
        <f t="shared" si="10"/>
        <v>38.75</v>
      </c>
      <c r="T39" s="37">
        <v>30</v>
      </c>
      <c r="U39" s="37">
        <f t="shared" si="11"/>
        <v>7.5</v>
      </c>
      <c r="V39" s="78"/>
      <c r="W39" s="79"/>
      <c r="X39" s="24">
        <f t="shared" si="12"/>
        <v>17293.086863461693</v>
      </c>
    </row>
    <row r="40" spans="1:24" s="6" customFormat="1" ht="15.75" hidden="1">
      <c r="A40" s="41">
        <v>34</v>
      </c>
      <c r="B40" s="42" t="s">
        <v>58</v>
      </c>
      <c r="C40" s="43">
        <f>'[1]Свод '!$J$37/1000</f>
        <v>750.94086783294733</v>
      </c>
      <c r="D40" s="43">
        <f t="shared" si="1"/>
        <v>40.550806862979151</v>
      </c>
      <c r="E40" s="43">
        <f t="shared" si="2"/>
        <v>23.654637336737842</v>
      </c>
      <c r="F40" s="43">
        <f t="shared" si="3"/>
        <v>15.018817356658946</v>
      </c>
      <c r="G40" s="34">
        <f t="shared" si="4"/>
        <v>9011.290413995368</v>
      </c>
      <c r="H40" s="34">
        <f t="shared" si="5"/>
        <v>486.60968235574984</v>
      </c>
      <c r="I40" s="34">
        <f t="shared" si="6"/>
        <v>283.85564804085413</v>
      </c>
      <c r="J40" s="34">
        <f t="shared" si="7"/>
        <v>180.22580827990737</v>
      </c>
      <c r="K40" s="34">
        <f t="shared" si="8"/>
        <v>2490.4953881679698</v>
      </c>
      <c r="L40" s="40">
        <v>1650</v>
      </c>
      <c r="M40" s="34">
        <f t="shared" si="9"/>
        <v>235.71428571428572</v>
      </c>
      <c r="N40" s="34">
        <f>'[2]2021 за год '!L41/7*3</f>
        <v>518.14285714285711</v>
      </c>
      <c r="O40" s="37">
        <v>61</v>
      </c>
      <c r="P40" s="36">
        <f t="shared" si="0"/>
        <v>5.083333333333333</v>
      </c>
      <c r="Q40" s="35">
        <f>'[2]2021 за год '!M41/12*3</f>
        <v>69</v>
      </c>
      <c r="R40" s="37">
        <v>155</v>
      </c>
      <c r="S40" s="36">
        <f t="shared" si="10"/>
        <v>38.75</v>
      </c>
      <c r="T40" s="37">
        <v>30</v>
      </c>
      <c r="U40" s="37">
        <f t="shared" si="11"/>
        <v>7.5</v>
      </c>
      <c r="V40" s="78"/>
      <c r="W40" s="79"/>
      <c r="X40" s="24">
        <f t="shared" si="12"/>
        <v>3128.9715786441607</v>
      </c>
    </row>
    <row r="41" spans="1:24" s="6" customFormat="1" ht="15.75" hidden="1">
      <c r="A41" s="41">
        <v>35</v>
      </c>
      <c r="B41" s="42" t="s">
        <v>59</v>
      </c>
      <c r="C41" s="43">
        <f>'[1]Свод '!$J$41/1000</f>
        <v>8241.4683737085161</v>
      </c>
      <c r="D41" s="43">
        <f t="shared" si="1"/>
        <v>445.03929218025979</v>
      </c>
      <c r="E41" s="43">
        <f t="shared" si="2"/>
        <v>259.60625377181827</v>
      </c>
      <c r="F41" s="43">
        <f t="shared" si="3"/>
        <v>164.82936747417031</v>
      </c>
      <c r="G41" s="34">
        <f t="shared" si="4"/>
        <v>98897.6204845022</v>
      </c>
      <c r="H41" s="34">
        <f t="shared" si="5"/>
        <v>5340.4715061631186</v>
      </c>
      <c r="I41" s="34">
        <f t="shared" si="6"/>
        <v>3115.2750452618193</v>
      </c>
      <c r="J41" s="34">
        <f t="shared" si="7"/>
        <v>1977.9524096900441</v>
      </c>
      <c r="K41" s="34">
        <f t="shared" si="8"/>
        <v>27332.829861404294</v>
      </c>
      <c r="L41" s="40">
        <v>5909</v>
      </c>
      <c r="M41" s="34">
        <f t="shared" si="9"/>
        <v>844.14285714285711</v>
      </c>
      <c r="N41" s="34">
        <f>'[2]2021 за год '!L42/7*3</f>
        <v>2417.1428571428569</v>
      </c>
      <c r="O41" s="37">
        <v>220.2</v>
      </c>
      <c r="P41" s="36">
        <f t="shared" si="0"/>
        <v>18.349999999999998</v>
      </c>
      <c r="Q41" s="35">
        <f>'[2]2021 за год '!M42/12*3</f>
        <v>70.55</v>
      </c>
      <c r="R41" s="37">
        <v>160</v>
      </c>
      <c r="S41" s="36">
        <f t="shared" si="10"/>
        <v>40</v>
      </c>
      <c r="T41" s="37">
        <v>30</v>
      </c>
      <c r="U41" s="37">
        <f t="shared" si="11"/>
        <v>7.5</v>
      </c>
      <c r="V41" s="78"/>
      <c r="W41" s="79"/>
      <c r="X41" s="24">
        <f t="shared" si="12"/>
        <v>29886.372718547147</v>
      </c>
    </row>
    <row r="42" spans="1:24" s="6" customFormat="1" ht="15.75" hidden="1">
      <c r="A42" s="41">
        <v>36</v>
      </c>
      <c r="B42" s="42" t="s">
        <v>60</v>
      </c>
      <c r="C42" s="43">
        <f>'[1]Свод '!$J$42/1000</f>
        <v>6425.0795290933629</v>
      </c>
      <c r="D42" s="43">
        <f t="shared" si="1"/>
        <v>346.9542945710416</v>
      </c>
      <c r="E42" s="43">
        <f t="shared" si="2"/>
        <v>202.39000516644094</v>
      </c>
      <c r="F42" s="43">
        <f t="shared" si="3"/>
        <v>128.50159058186725</v>
      </c>
      <c r="G42" s="34">
        <f t="shared" si="4"/>
        <v>77100.954349120351</v>
      </c>
      <c r="H42" s="34">
        <f t="shared" si="5"/>
        <v>4163.4515348524992</v>
      </c>
      <c r="I42" s="34">
        <f t="shared" si="6"/>
        <v>2428.6800619972914</v>
      </c>
      <c r="J42" s="34">
        <f t="shared" si="7"/>
        <v>1542.0190869824071</v>
      </c>
      <c r="K42" s="34">
        <f t="shared" si="8"/>
        <v>21308.77625823814</v>
      </c>
      <c r="L42" s="40">
        <v>4290</v>
      </c>
      <c r="M42" s="34">
        <f t="shared" si="9"/>
        <v>612.85714285714289</v>
      </c>
      <c r="N42" s="34">
        <f>'[2]2021 за год '!L43/7*3</f>
        <v>981.42857142857156</v>
      </c>
      <c r="O42" s="37">
        <v>201.6</v>
      </c>
      <c r="P42" s="36">
        <f t="shared" si="0"/>
        <v>16.8</v>
      </c>
      <c r="Q42" s="35">
        <f>'[2]2021 за год '!M43/12*3</f>
        <v>117.9</v>
      </c>
      <c r="R42" s="37">
        <v>187</v>
      </c>
      <c r="S42" s="36">
        <f t="shared" si="10"/>
        <v>46.75</v>
      </c>
      <c r="T42" s="37">
        <v>60</v>
      </c>
      <c r="U42" s="37">
        <f t="shared" si="11"/>
        <v>15</v>
      </c>
      <c r="V42" s="78"/>
      <c r="W42" s="79"/>
      <c r="X42" s="24">
        <f t="shared" si="12"/>
        <v>22486.654829666713</v>
      </c>
    </row>
    <row r="43" spans="1:24" s="54" customFormat="1" ht="15.75" hidden="1">
      <c r="A43" s="48">
        <v>37</v>
      </c>
      <c r="B43" s="49" t="s">
        <v>61</v>
      </c>
      <c r="C43" s="50">
        <f>'[1]Свод '!$J$43/1000</f>
        <v>3725.8337278121139</v>
      </c>
      <c r="D43" s="50">
        <f t="shared" si="1"/>
        <v>201.19502130185415</v>
      </c>
      <c r="E43" s="50">
        <f t="shared" si="2"/>
        <v>117.36376242608159</v>
      </c>
      <c r="F43" s="50">
        <f t="shared" si="3"/>
        <v>74.516674556242279</v>
      </c>
      <c r="G43" s="34">
        <f t="shared" si="4"/>
        <v>44710.004733745365</v>
      </c>
      <c r="H43" s="51">
        <f t="shared" si="5"/>
        <v>2414.3402556222495</v>
      </c>
      <c r="I43" s="51">
        <f t="shared" si="6"/>
        <v>1408.3651491129792</v>
      </c>
      <c r="J43" s="51">
        <f t="shared" si="7"/>
        <v>894.20009467490729</v>
      </c>
      <c r="K43" s="34">
        <f t="shared" si="8"/>
        <v>12356.727558288876</v>
      </c>
      <c r="L43" s="52">
        <v>2205</v>
      </c>
      <c r="M43" s="34">
        <f t="shared" si="9"/>
        <v>315</v>
      </c>
      <c r="N43" s="34">
        <f>'[2]2021 за год '!L44/7*3</f>
        <v>762</v>
      </c>
      <c r="O43" s="53">
        <v>267.5</v>
      </c>
      <c r="P43" s="36">
        <f t="shared" si="0"/>
        <v>22.291666666666668</v>
      </c>
      <c r="Q43" s="35">
        <f>'[2]2021 за год '!M44/12*3</f>
        <v>116.875</v>
      </c>
      <c r="R43" s="53">
        <v>155</v>
      </c>
      <c r="S43" s="36">
        <f t="shared" si="10"/>
        <v>38.75</v>
      </c>
      <c r="T43" s="53">
        <v>30</v>
      </c>
      <c r="U43" s="37">
        <f t="shared" si="11"/>
        <v>7.5</v>
      </c>
      <c r="V43" s="78"/>
      <c r="W43" s="79"/>
      <c r="X43" s="24">
        <f t="shared" si="12"/>
        <v>13304.144224955542</v>
      </c>
    </row>
    <row r="44" spans="1:24" s="6" customFormat="1" ht="15.75" hidden="1">
      <c r="A44" s="41">
        <v>39</v>
      </c>
      <c r="B44" s="42" t="s">
        <v>62</v>
      </c>
      <c r="C44" s="43">
        <f>'[1]Свод '!$J$45/1000</f>
        <v>3701.8287106355992</v>
      </c>
      <c r="D44" s="43">
        <f t="shared" si="1"/>
        <v>199.89875037432233</v>
      </c>
      <c r="E44" s="43">
        <f t="shared" si="2"/>
        <v>116.60760438502139</v>
      </c>
      <c r="F44" s="43">
        <f t="shared" si="3"/>
        <v>74.036574212711983</v>
      </c>
      <c r="G44" s="34">
        <f t="shared" si="4"/>
        <v>44421.944527627187</v>
      </c>
      <c r="H44" s="34">
        <f t="shared" si="5"/>
        <v>2398.7850044918678</v>
      </c>
      <c r="I44" s="34">
        <f t="shared" si="6"/>
        <v>1399.2912526202565</v>
      </c>
      <c r="J44" s="34">
        <f t="shared" si="7"/>
        <v>888.43889055254374</v>
      </c>
      <c r="K44" s="34">
        <f t="shared" si="8"/>
        <v>12277.114918822965</v>
      </c>
      <c r="L44" s="40">
        <v>2022</v>
      </c>
      <c r="M44" s="34">
        <f t="shared" si="9"/>
        <v>288.85714285714283</v>
      </c>
      <c r="N44" s="34">
        <f>'[2]2021 за год '!L45/7*3</f>
        <v>680.14285714285711</v>
      </c>
      <c r="O44" s="37">
        <v>98.53</v>
      </c>
      <c r="P44" s="36">
        <f t="shared" si="0"/>
        <v>8.2108333333333334</v>
      </c>
      <c r="Q44" s="35">
        <f>'[2]2021 за год '!M45/12*3</f>
        <v>69.882499999999993</v>
      </c>
      <c r="R44" s="53">
        <v>155</v>
      </c>
      <c r="S44" s="36">
        <f t="shared" si="10"/>
        <v>38.75</v>
      </c>
      <c r="T44" s="37">
        <v>30</v>
      </c>
      <c r="U44" s="37">
        <f t="shared" si="11"/>
        <v>7.5</v>
      </c>
      <c r="V44" s="78"/>
      <c r="W44" s="79"/>
      <c r="X44" s="24">
        <f t="shared" si="12"/>
        <v>13081.601109299154</v>
      </c>
    </row>
    <row r="45" spans="1:24" s="6" customFormat="1" ht="15.75" hidden="1">
      <c r="A45" s="41">
        <v>40</v>
      </c>
      <c r="B45" s="42" t="s">
        <v>63</v>
      </c>
      <c r="C45" s="43">
        <f>'[1]Свод '!$J$46/1000</f>
        <v>4431.6803452793492</v>
      </c>
      <c r="D45" s="43">
        <f t="shared" si="1"/>
        <v>239.31073864508483</v>
      </c>
      <c r="E45" s="43">
        <f t="shared" si="2"/>
        <v>139.5979308762995</v>
      </c>
      <c r="F45" s="43">
        <f t="shared" si="3"/>
        <v>88.633606905586987</v>
      </c>
      <c r="G45" s="34">
        <f t="shared" si="4"/>
        <v>53180.164143352187</v>
      </c>
      <c r="H45" s="34">
        <f t="shared" si="5"/>
        <v>2871.7288637410184</v>
      </c>
      <c r="I45" s="34">
        <f t="shared" si="6"/>
        <v>1675.1751705155941</v>
      </c>
      <c r="J45" s="34">
        <f t="shared" si="7"/>
        <v>1063.6032828670438</v>
      </c>
      <c r="K45" s="34">
        <f t="shared" si="8"/>
        <v>14697.667865118961</v>
      </c>
      <c r="L45" s="40">
        <v>7094</v>
      </c>
      <c r="M45" s="34">
        <f t="shared" si="9"/>
        <v>1013.4285714285714</v>
      </c>
      <c r="N45" s="34">
        <f>'[2]2021 за год '!L46/7*3</f>
        <v>2946.8571428571431</v>
      </c>
      <c r="O45" s="37">
        <v>852.4</v>
      </c>
      <c r="P45" s="36">
        <f t="shared" si="0"/>
        <v>71.033333333333331</v>
      </c>
      <c r="Q45" s="35">
        <f>'[2]2021 за год '!M46/12*3</f>
        <v>49.875</v>
      </c>
      <c r="R45" s="53">
        <v>155</v>
      </c>
      <c r="S45" s="36">
        <f t="shared" si="10"/>
        <v>38.75</v>
      </c>
      <c r="T45" s="37">
        <v>30</v>
      </c>
      <c r="U45" s="37">
        <f t="shared" si="11"/>
        <v>7.5</v>
      </c>
      <c r="V45" s="78"/>
      <c r="W45" s="79"/>
      <c r="X45" s="24">
        <f t="shared" si="12"/>
        <v>17811.683341309435</v>
      </c>
    </row>
    <row r="46" spans="1:24" s="6" customFormat="1" ht="15.75" hidden="1">
      <c r="A46" s="41">
        <v>41</v>
      </c>
      <c r="B46" s="42" t="s">
        <v>64</v>
      </c>
      <c r="C46" s="43">
        <f>'[1]Свод '!$J$44/1000</f>
        <v>5387.8751330599744</v>
      </c>
      <c r="D46" s="43">
        <f t="shared" si="1"/>
        <v>290.94525718523857</v>
      </c>
      <c r="E46" s="43">
        <f t="shared" si="2"/>
        <v>169.7180666913892</v>
      </c>
      <c r="F46" s="43">
        <f t="shared" si="3"/>
        <v>107.7575026611995</v>
      </c>
      <c r="G46" s="34">
        <f t="shared" si="4"/>
        <v>64654.501596719696</v>
      </c>
      <c r="H46" s="34">
        <f t="shared" si="5"/>
        <v>3491.3430862228633</v>
      </c>
      <c r="I46" s="34">
        <f t="shared" si="6"/>
        <v>2036.6168002966706</v>
      </c>
      <c r="J46" s="34">
        <f t="shared" si="7"/>
        <v>1293.0900319343939</v>
      </c>
      <c r="K46" s="34">
        <f t="shared" si="8"/>
        <v>17868.887878793405</v>
      </c>
      <c r="L46" s="40">
        <v>5347</v>
      </c>
      <c r="M46" s="34">
        <f t="shared" si="9"/>
        <v>763.85714285714289</v>
      </c>
      <c r="N46" s="34">
        <f>'[2]2021 за год '!L47/7*3</f>
        <v>2077.2857142857142</v>
      </c>
      <c r="O46" s="37">
        <v>218.8</v>
      </c>
      <c r="P46" s="36">
        <f t="shared" si="0"/>
        <v>18.233333333333334</v>
      </c>
      <c r="Q46" s="35">
        <f>'[2]2021 за год '!M47/12*3</f>
        <v>72.2</v>
      </c>
      <c r="R46" s="53">
        <v>155</v>
      </c>
      <c r="S46" s="36">
        <f t="shared" si="10"/>
        <v>38.75</v>
      </c>
      <c r="T46" s="37">
        <v>30</v>
      </c>
      <c r="U46" s="37">
        <f t="shared" si="11"/>
        <v>7.5</v>
      </c>
      <c r="V46" s="78"/>
      <c r="W46" s="79"/>
      <c r="X46" s="24">
        <f t="shared" si="12"/>
        <v>20082.856926412453</v>
      </c>
    </row>
    <row r="47" spans="1:24" s="6" customFormat="1" ht="15.75" hidden="1">
      <c r="A47" s="41">
        <v>42</v>
      </c>
      <c r="B47" s="42" t="s">
        <v>65</v>
      </c>
      <c r="C47" s="43">
        <f>'[1]Свод '!$J$40/1000</f>
        <v>4508.8782471876812</v>
      </c>
      <c r="D47" s="43">
        <f t="shared" si="1"/>
        <v>243.47942534813478</v>
      </c>
      <c r="E47" s="43">
        <f t="shared" si="2"/>
        <v>142.02966478641196</v>
      </c>
      <c r="F47" s="43">
        <f t="shared" si="3"/>
        <v>90.177564943753623</v>
      </c>
      <c r="G47" s="34">
        <f t="shared" si="4"/>
        <v>54106.538966252177</v>
      </c>
      <c r="H47" s="34">
        <f t="shared" si="5"/>
        <v>2921.7531041776174</v>
      </c>
      <c r="I47" s="34">
        <f t="shared" si="6"/>
        <v>1704.3559774369437</v>
      </c>
      <c r="J47" s="34">
        <f t="shared" si="7"/>
        <v>1082.1307793250435</v>
      </c>
      <c r="K47" s="34">
        <f t="shared" si="8"/>
        <v>14953.694706797945</v>
      </c>
      <c r="L47" s="40">
        <v>8848</v>
      </c>
      <c r="M47" s="34">
        <f t="shared" si="9"/>
        <v>1264</v>
      </c>
      <c r="N47" s="34">
        <f>'[2]2021 за год '!L48/7*3</f>
        <v>3448.7142857142862</v>
      </c>
      <c r="O47" s="37">
        <v>231.5</v>
      </c>
      <c r="P47" s="36">
        <f t="shared" si="0"/>
        <v>19.291666666666668</v>
      </c>
      <c r="Q47" s="35">
        <f>'[2]2021 за год '!M48/12*3</f>
        <v>57.875</v>
      </c>
      <c r="R47" s="37">
        <v>159</v>
      </c>
      <c r="S47" s="36">
        <f t="shared" si="10"/>
        <v>39.75</v>
      </c>
      <c r="T47" s="37">
        <v>30</v>
      </c>
      <c r="U47" s="37">
        <f t="shared" si="11"/>
        <v>7.5</v>
      </c>
      <c r="V47" s="78"/>
      <c r="W47" s="79"/>
      <c r="X47" s="24">
        <f t="shared" si="12"/>
        <v>18526.8256591789</v>
      </c>
    </row>
    <row r="48" spans="1:24" s="6" customFormat="1" ht="15.75" hidden="1">
      <c r="A48" s="41">
        <v>43</v>
      </c>
      <c r="B48" s="42" t="s">
        <v>66</v>
      </c>
      <c r="C48" s="43">
        <f>'[1]Свод '!$J$54/1000</f>
        <v>4199.1391736064734</v>
      </c>
      <c r="D48" s="43">
        <f t="shared" si="1"/>
        <v>226.75351537474955</v>
      </c>
      <c r="E48" s="43">
        <f t="shared" si="2"/>
        <v>132.27288396860394</v>
      </c>
      <c r="F48" s="43">
        <f t="shared" si="3"/>
        <v>83.982783472129469</v>
      </c>
      <c r="G48" s="34">
        <f t="shared" si="4"/>
        <v>50389.670083277684</v>
      </c>
      <c r="H48" s="34">
        <f t="shared" si="5"/>
        <v>2721.0421844969951</v>
      </c>
      <c r="I48" s="34">
        <f t="shared" si="6"/>
        <v>1587.2746076232472</v>
      </c>
      <c r="J48" s="34">
        <f t="shared" si="7"/>
        <v>1007.7934016655537</v>
      </c>
      <c r="K48" s="34">
        <f t="shared" si="8"/>
        <v>13926.445069265868</v>
      </c>
      <c r="L48" s="40">
        <v>6044</v>
      </c>
      <c r="M48" s="34">
        <f t="shared" si="9"/>
        <v>863.42857142857144</v>
      </c>
      <c r="N48" s="34">
        <f>'[2]2021 за год '!L49/7*3</f>
        <v>2477.6399269714284</v>
      </c>
      <c r="O48" s="37">
        <v>23.8</v>
      </c>
      <c r="P48" s="36">
        <f t="shared" si="0"/>
        <v>1.9833333333333334</v>
      </c>
      <c r="Q48" s="35">
        <f>'[2]2021 за год '!M49/12*3</f>
        <v>5.95</v>
      </c>
      <c r="R48" s="37">
        <v>145</v>
      </c>
      <c r="S48" s="36">
        <f t="shared" si="10"/>
        <v>36.25</v>
      </c>
      <c r="T48" s="37">
        <v>30</v>
      </c>
      <c r="U48" s="37">
        <f t="shared" si="11"/>
        <v>7.5</v>
      </c>
      <c r="V48" s="78"/>
      <c r="W48" s="79"/>
      <c r="X48" s="24">
        <f t="shared" si="12"/>
        <v>16455.76832957063</v>
      </c>
    </row>
    <row r="49" spans="1:24" s="6" customFormat="1" ht="15.75" hidden="1">
      <c r="A49" s="41">
        <v>44</v>
      </c>
      <c r="B49" s="42" t="s">
        <v>67</v>
      </c>
      <c r="C49" s="43">
        <f>'[1]Свод '!$J$47/1000</f>
        <v>970.77216614128042</v>
      </c>
      <c r="D49" s="43">
        <f t="shared" si="1"/>
        <v>52.421696971629139</v>
      </c>
      <c r="E49" s="43">
        <f t="shared" si="2"/>
        <v>30.579323233450339</v>
      </c>
      <c r="F49" s="43">
        <f t="shared" si="3"/>
        <v>19.41544332282561</v>
      </c>
      <c r="G49" s="34">
        <f t="shared" si="4"/>
        <v>11649.265993695364</v>
      </c>
      <c r="H49" s="34">
        <f t="shared" si="5"/>
        <v>629.06036365954958</v>
      </c>
      <c r="I49" s="34">
        <f t="shared" si="6"/>
        <v>366.95187880140401</v>
      </c>
      <c r="J49" s="34">
        <f t="shared" si="7"/>
        <v>232.98531987390729</v>
      </c>
      <c r="K49" s="34">
        <f t="shared" si="8"/>
        <v>3219.5658890075565</v>
      </c>
      <c r="L49" s="40">
        <v>842</v>
      </c>
      <c r="M49" s="34">
        <f t="shared" si="9"/>
        <v>120.28571428571429</v>
      </c>
      <c r="N49" s="34">
        <f>'[2]2021 за год '!L50/7*3</f>
        <v>197.14285714285711</v>
      </c>
      <c r="O49" s="37">
        <v>34.200000000000003</v>
      </c>
      <c r="P49" s="36">
        <f t="shared" si="0"/>
        <v>2.85</v>
      </c>
      <c r="Q49" s="35">
        <f>'[2]2021 за год '!M50/12*3</f>
        <v>8.5500000000000007</v>
      </c>
      <c r="R49" s="37">
        <v>155</v>
      </c>
      <c r="S49" s="36">
        <f t="shared" si="10"/>
        <v>38.75</v>
      </c>
      <c r="T49" s="37">
        <v>30</v>
      </c>
      <c r="U49" s="37">
        <f t="shared" si="11"/>
        <v>7.5</v>
      </c>
      <c r="V49" s="78"/>
      <c r="W49" s="79"/>
      <c r="X49" s="24">
        <f t="shared" si="12"/>
        <v>3474.3587461504135</v>
      </c>
    </row>
    <row r="50" spans="1:24" s="6" customFormat="1" ht="15.75" hidden="1">
      <c r="A50" s="41">
        <v>45</v>
      </c>
      <c r="B50" s="42" t="s">
        <v>68</v>
      </c>
      <c r="C50" s="43">
        <f>'[1]Свод '!$J$53/1000</f>
        <v>3357.7147371766973</v>
      </c>
      <c r="D50" s="43">
        <f t="shared" si="1"/>
        <v>181.31659580754166</v>
      </c>
      <c r="E50" s="43">
        <f t="shared" si="2"/>
        <v>105.76801422106597</v>
      </c>
      <c r="F50" s="43">
        <f t="shared" si="3"/>
        <v>67.154294743533953</v>
      </c>
      <c r="G50" s="34">
        <f t="shared" si="4"/>
        <v>40292.57684612037</v>
      </c>
      <c r="H50" s="34">
        <f t="shared" si="5"/>
        <v>2175.7991496905001</v>
      </c>
      <c r="I50" s="34">
        <f t="shared" si="6"/>
        <v>1269.2161706527918</v>
      </c>
      <c r="J50" s="34">
        <f t="shared" si="7"/>
        <v>805.85153692240738</v>
      </c>
      <c r="K50" s="34">
        <f t="shared" si="8"/>
        <v>11135.860925846517</v>
      </c>
      <c r="L50" s="40">
        <f>1692</f>
        <v>1692</v>
      </c>
      <c r="M50" s="34">
        <f>L50/7</f>
        <v>241.71428571428572</v>
      </c>
      <c r="N50" s="34">
        <f>'[2]2021 за год '!L51/7*3</f>
        <v>756</v>
      </c>
      <c r="O50" s="37">
        <v>105.64</v>
      </c>
      <c r="P50" s="36">
        <f t="shared" si="0"/>
        <v>8.8033333333333328</v>
      </c>
      <c r="Q50" s="35">
        <f>'[2]2021 за год '!M51/12*3</f>
        <v>26.409999999999997</v>
      </c>
      <c r="R50" s="37">
        <v>146</v>
      </c>
      <c r="S50" s="36">
        <f t="shared" si="10"/>
        <v>36.5</v>
      </c>
      <c r="T50" s="37">
        <v>30</v>
      </c>
      <c r="U50" s="37">
        <f t="shared" si="11"/>
        <v>7.5</v>
      </c>
      <c r="V50" s="78"/>
      <c r="W50" s="79"/>
      <c r="X50" s="24">
        <f t="shared" si="12"/>
        <v>11971.07425917985</v>
      </c>
    </row>
    <row r="51" spans="1:24" s="6" customFormat="1" ht="15.75" hidden="1">
      <c r="A51" s="41">
        <v>46</v>
      </c>
      <c r="B51" s="42" t="s">
        <v>69</v>
      </c>
      <c r="C51" s="43">
        <f>'[1]Свод '!$J$50/1000</f>
        <v>3114.1402739293017</v>
      </c>
      <c r="D51" s="43">
        <f t="shared" si="1"/>
        <v>168.16357479218229</v>
      </c>
      <c r="E51" s="43">
        <f t="shared" si="2"/>
        <v>98.095418628773018</v>
      </c>
      <c r="F51" s="43">
        <f t="shared" si="3"/>
        <v>62.282805478586035</v>
      </c>
      <c r="G51" s="34">
        <f t="shared" si="4"/>
        <v>37369.683287151624</v>
      </c>
      <c r="H51" s="34">
        <f t="shared" si="5"/>
        <v>2017.9628975061876</v>
      </c>
      <c r="I51" s="34">
        <f t="shared" si="6"/>
        <v>1177.1450235452762</v>
      </c>
      <c r="J51" s="34">
        <f t="shared" si="7"/>
        <v>747.39366574303244</v>
      </c>
      <c r="K51" s="34">
        <f t="shared" si="8"/>
        <v>10328.046218486528</v>
      </c>
      <c r="L51" s="40">
        <f>'[3]прогноз на 2020 г'!$D$20/1000</f>
        <v>1455.1583465999997</v>
      </c>
      <c r="M51" s="34">
        <f t="shared" si="9"/>
        <v>207.87976379999995</v>
      </c>
      <c r="N51" s="34">
        <f>'[2]2021 за год '!L52/7*3</f>
        <v>623.63929139999982</v>
      </c>
      <c r="O51" s="37">
        <v>98.29</v>
      </c>
      <c r="P51" s="36">
        <f t="shared" si="0"/>
        <v>8.1908333333333339</v>
      </c>
      <c r="Q51" s="35">
        <f>'[2]2021 за год '!M52/12*3</f>
        <v>24.572500000000002</v>
      </c>
      <c r="R51" s="37">
        <v>146</v>
      </c>
      <c r="S51" s="36">
        <f t="shared" si="10"/>
        <v>36.5</v>
      </c>
      <c r="T51" s="37">
        <v>30</v>
      </c>
      <c r="U51" s="37">
        <f t="shared" si="11"/>
        <v>7.5</v>
      </c>
      <c r="V51" s="78"/>
      <c r="W51" s="79"/>
      <c r="X51" s="24">
        <f t="shared" si="12"/>
        <v>11028.448843219861</v>
      </c>
    </row>
    <row r="52" spans="1:24" s="6" customFormat="1" ht="15.75" hidden="1">
      <c r="A52" s="41">
        <v>47</v>
      </c>
      <c r="B52" s="42" t="s">
        <v>70</v>
      </c>
      <c r="C52" s="43">
        <f>'[1]Свод '!$J$48/1000</f>
        <v>3733.4605312137242</v>
      </c>
      <c r="D52" s="43">
        <f t="shared" si="1"/>
        <v>201.60686868554112</v>
      </c>
      <c r="E52" s="43">
        <f t="shared" si="2"/>
        <v>117.60400673323232</v>
      </c>
      <c r="F52" s="43">
        <f t="shared" si="3"/>
        <v>74.669210624274484</v>
      </c>
      <c r="G52" s="34">
        <f t="shared" si="4"/>
        <v>44801.526374564688</v>
      </c>
      <c r="H52" s="34">
        <f t="shared" si="5"/>
        <v>2419.2824242264928</v>
      </c>
      <c r="I52" s="34">
        <f t="shared" si="6"/>
        <v>1411.2480807987877</v>
      </c>
      <c r="J52" s="34">
        <f t="shared" si="7"/>
        <v>896.03052749129381</v>
      </c>
      <c r="K52" s="34">
        <f t="shared" si="8"/>
        <v>12382.021851770316</v>
      </c>
      <c r="L52" s="40">
        <v>6184</v>
      </c>
      <c r="M52" s="34">
        <f t="shared" si="9"/>
        <v>883.42857142857144</v>
      </c>
      <c r="N52" s="34">
        <f>'[2]2021 за год '!L53/7*3</f>
        <v>2624.1428571428569</v>
      </c>
      <c r="O52" s="37">
        <v>671.6</v>
      </c>
      <c r="P52" s="36">
        <f t="shared" si="0"/>
        <v>55.966666666666669</v>
      </c>
      <c r="Q52" s="35">
        <f>'[2]2021 за год '!M53/12*3</f>
        <v>217.90000000000003</v>
      </c>
      <c r="R52" s="37">
        <v>234</v>
      </c>
      <c r="S52" s="36">
        <f t="shared" si="10"/>
        <v>58.5</v>
      </c>
      <c r="T52" s="37">
        <v>30</v>
      </c>
      <c r="U52" s="37">
        <f t="shared" si="11"/>
        <v>7.5</v>
      </c>
      <c r="V52" s="78"/>
      <c r="W52" s="79"/>
      <c r="X52" s="24">
        <f t="shared" si="12"/>
        <v>15346.03137557984</v>
      </c>
    </row>
    <row r="53" spans="1:24" s="6" customFormat="1" ht="15.75" hidden="1">
      <c r="A53" s="41">
        <v>48</v>
      </c>
      <c r="B53" s="42" t="s">
        <v>71</v>
      </c>
      <c r="C53" s="43">
        <f>'[1]Свод '!$J$49/1000</f>
        <v>893.6419177391972</v>
      </c>
      <c r="D53" s="43">
        <f t="shared" si="1"/>
        <v>48.256663557916646</v>
      </c>
      <c r="E53" s="43">
        <f t="shared" si="2"/>
        <v>28.149720408784713</v>
      </c>
      <c r="F53" s="43">
        <f t="shared" si="3"/>
        <v>17.872838354783944</v>
      </c>
      <c r="G53" s="34">
        <f t="shared" si="4"/>
        <v>10723.703012870366</v>
      </c>
      <c r="H53" s="34">
        <f t="shared" si="5"/>
        <v>579.07996269499972</v>
      </c>
      <c r="I53" s="34">
        <f t="shared" si="6"/>
        <v>337.79664490541654</v>
      </c>
      <c r="J53" s="34">
        <f t="shared" si="7"/>
        <v>214.47406025740733</v>
      </c>
      <c r="K53" s="34">
        <f t="shared" si="8"/>
        <v>2963.7634201820474</v>
      </c>
      <c r="L53" s="40">
        <f>'[3]прогноз на 2020 г'!$D$22/1000</f>
        <v>1768.1579084</v>
      </c>
      <c r="M53" s="34">
        <f t="shared" si="9"/>
        <v>252.59398691428572</v>
      </c>
      <c r="N53" s="34">
        <f>'[2]2021 за год '!L54/7*3</f>
        <v>757.78196074285711</v>
      </c>
      <c r="O53" s="37">
        <v>108.48</v>
      </c>
      <c r="P53" s="36">
        <f t="shared" si="0"/>
        <v>9.0400000000000009</v>
      </c>
      <c r="Q53" s="35">
        <f>'[2]2021 за год '!M54/12*3</f>
        <v>72.12</v>
      </c>
      <c r="R53" s="37">
        <v>146</v>
      </c>
      <c r="S53" s="36">
        <f t="shared" si="10"/>
        <v>36.5</v>
      </c>
      <c r="T53" s="37">
        <v>30</v>
      </c>
      <c r="U53" s="37">
        <f t="shared" si="11"/>
        <v>7.5</v>
      </c>
      <c r="V53" s="78"/>
      <c r="W53" s="79"/>
      <c r="X53" s="24">
        <f t="shared" si="12"/>
        <v>3846.7053809249046</v>
      </c>
    </row>
    <row r="54" spans="1:24" s="6" customFormat="1" ht="31.5" hidden="1">
      <c r="A54" s="41">
        <v>49</v>
      </c>
      <c r="B54" s="42" t="s">
        <v>72</v>
      </c>
      <c r="C54" s="43">
        <f>'[1]Свод '!$J$51/1000</f>
        <v>5683.7802916720584</v>
      </c>
      <c r="D54" s="43">
        <f t="shared" si="1"/>
        <v>306.92413575029116</v>
      </c>
      <c r="E54" s="43">
        <f t="shared" si="2"/>
        <v>179.03907918766987</v>
      </c>
      <c r="F54" s="43">
        <f t="shared" si="3"/>
        <v>113.67560583344117</v>
      </c>
      <c r="G54" s="34">
        <f t="shared" si="4"/>
        <v>68205.363500064705</v>
      </c>
      <c r="H54" s="34">
        <f t="shared" si="5"/>
        <v>3683.0896290034939</v>
      </c>
      <c r="I54" s="34">
        <f t="shared" si="6"/>
        <v>2148.4689502520382</v>
      </c>
      <c r="J54" s="34">
        <f t="shared" si="7"/>
        <v>1364.1072700012942</v>
      </c>
      <c r="K54" s="34">
        <f t="shared" si="8"/>
        <v>18850.257337330382</v>
      </c>
      <c r="L54" s="40">
        <f>'[3]прогноз на 2020 г'!$D$23/1000</f>
        <v>2082.0155910000003</v>
      </c>
      <c r="M54" s="34">
        <f t="shared" si="9"/>
        <v>297.43079871428574</v>
      </c>
      <c r="N54" s="34">
        <f>'[2]2021 за год '!L55/7*3</f>
        <v>892.29239614285723</v>
      </c>
      <c r="O54" s="37">
        <v>424.74</v>
      </c>
      <c r="P54" s="36">
        <f t="shared" si="0"/>
        <v>35.395000000000003</v>
      </c>
      <c r="Q54" s="35">
        <f>'[2]2021 за год '!M55/12*3</f>
        <v>106.185</v>
      </c>
      <c r="R54" s="37">
        <v>159</v>
      </c>
      <c r="S54" s="36">
        <f t="shared" si="10"/>
        <v>39.75</v>
      </c>
      <c r="T54" s="37">
        <v>74</v>
      </c>
      <c r="U54" s="37">
        <f t="shared" si="11"/>
        <v>18.5</v>
      </c>
      <c r="V54" s="78"/>
      <c r="W54" s="79"/>
      <c r="X54" s="24">
        <f t="shared" si="12"/>
        <v>19942.379733473241</v>
      </c>
    </row>
    <row r="55" spans="1:24" s="6" customFormat="1" ht="15.75" hidden="1">
      <c r="A55" s="41">
        <v>50</v>
      </c>
      <c r="B55" s="42" t="s">
        <v>73</v>
      </c>
      <c r="C55" s="43">
        <f>'[1]Свод '!$J$52/1000</f>
        <v>3830.8684139168495</v>
      </c>
      <c r="D55" s="43">
        <f t="shared" si="1"/>
        <v>206.86689435150984</v>
      </c>
      <c r="E55" s="43">
        <f t="shared" si="2"/>
        <v>120.67235503838077</v>
      </c>
      <c r="F55" s="43">
        <f t="shared" si="3"/>
        <v>76.617368278336997</v>
      </c>
      <c r="G55" s="34">
        <f t="shared" si="4"/>
        <v>45970.420967002196</v>
      </c>
      <c r="H55" s="34">
        <f t="shared" si="5"/>
        <v>2482.4027322181182</v>
      </c>
      <c r="I55" s="34">
        <f t="shared" si="6"/>
        <v>1448.0682604605693</v>
      </c>
      <c r="J55" s="34">
        <f t="shared" si="7"/>
        <v>919.40841934004391</v>
      </c>
      <c r="K55" s="34">
        <f t="shared" si="8"/>
        <v>12705.075094755231</v>
      </c>
      <c r="L55" s="40">
        <f>'[3]прогноз на 2020 г'!$D$24/1000</f>
        <v>6661.5917703999994</v>
      </c>
      <c r="M55" s="34">
        <f t="shared" si="9"/>
        <v>951.65596719999996</v>
      </c>
      <c r="N55" s="34">
        <f>'[2]2021 за год '!L56/7*3</f>
        <v>2854.9679016</v>
      </c>
      <c r="O55" s="37">
        <v>228.02</v>
      </c>
      <c r="P55" s="36">
        <f t="shared" si="0"/>
        <v>19.001666666666669</v>
      </c>
      <c r="Q55" s="35">
        <f>'[2]2021 за год '!M56/12*3</f>
        <v>57.00500000000001</v>
      </c>
      <c r="R55" s="37">
        <v>212</v>
      </c>
      <c r="S55" s="36">
        <f t="shared" si="10"/>
        <v>53</v>
      </c>
      <c r="T55" s="37">
        <v>30</v>
      </c>
      <c r="U55" s="37">
        <f t="shared" si="11"/>
        <v>7.5</v>
      </c>
      <c r="V55" s="78"/>
      <c r="W55" s="79"/>
      <c r="X55" s="24">
        <f t="shared" si="12"/>
        <v>15696.549663021897</v>
      </c>
    </row>
    <row r="56" spans="1:24" s="6" customFormat="1" ht="15.75" hidden="1">
      <c r="A56" s="41">
        <v>51</v>
      </c>
      <c r="B56" s="42" t="s">
        <v>74</v>
      </c>
      <c r="C56" s="43">
        <f>'[1]Свод '!$J$55/1000</f>
        <v>4295.9332007964895</v>
      </c>
      <c r="D56" s="43">
        <f t="shared" si="1"/>
        <v>231.98039284301043</v>
      </c>
      <c r="E56" s="43">
        <f t="shared" si="2"/>
        <v>135.32189582508943</v>
      </c>
      <c r="F56" s="43">
        <f t="shared" si="3"/>
        <v>85.918664015929792</v>
      </c>
      <c r="G56" s="34">
        <f t="shared" si="4"/>
        <v>51551.198409557874</v>
      </c>
      <c r="H56" s="34">
        <f t="shared" si="5"/>
        <v>2783.7647141161247</v>
      </c>
      <c r="I56" s="34">
        <f t="shared" si="6"/>
        <v>1623.8627499010731</v>
      </c>
      <c r="J56" s="34">
        <f t="shared" si="7"/>
        <v>1031.0239681911576</v>
      </c>
      <c r="K56" s="34">
        <f t="shared" si="8"/>
        <v>14247.462460441555</v>
      </c>
      <c r="L56" s="40">
        <f>'[3]прогноз на 2020 г'!$D$25/1000</f>
        <v>1835.7349214000001</v>
      </c>
      <c r="M56" s="34">
        <f t="shared" si="9"/>
        <v>262.24784591428573</v>
      </c>
      <c r="N56" s="34">
        <f>'[2]2021 за год '!L57/7*3</f>
        <v>829.71428571428567</v>
      </c>
      <c r="O56" s="37">
        <v>149.25</v>
      </c>
      <c r="P56" s="36">
        <f t="shared" si="0"/>
        <v>12.4375</v>
      </c>
      <c r="Q56" s="35">
        <f>'[2]2021 за год '!M57/12*3</f>
        <v>37.3125</v>
      </c>
      <c r="R56" s="37">
        <v>350</v>
      </c>
      <c r="S56" s="36">
        <f t="shared" si="10"/>
        <v>87.5</v>
      </c>
      <c r="T56" s="37">
        <v>30</v>
      </c>
      <c r="U56" s="37">
        <f t="shared" si="11"/>
        <v>7.5</v>
      </c>
      <c r="V56" s="78"/>
      <c r="W56" s="79"/>
      <c r="X56" s="24">
        <f t="shared" si="12"/>
        <v>15221.926746155841</v>
      </c>
    </row>
    <row r="57" spans="1:24" s="6" customFormat="1" ht="15.75" hidden="1">
      <c r="A57" s="41">
        <v>52</v>
      </c>
      <c r="B57" s="42" t="s">
        <v>75</v>
      </c>
      <c r="C57" s="43">
        <f>'[1]Свод '!$J$56/1000</f>
        <v>3834.7523088121143</v>
      </c>
      <c r="D57" s="43">
        <f t="shared" si="1"/>
        <v>207.07662467585416</v>
      </c>
      <c r="E57" s="43">
        <f t="shared" si="2"/>
        <v>120.79469772758162</v>
      </c>
      <c r="F57" s="43">
        <f t="shared" si="3"/>
        <v>76.695046176242286</v>
      </c>
      <c r="G57" s="34">
        <f t="shared" si="4"/>
        <v>46017.027705745371</v>
      </c>
      <c r="H57" s="34">
        <f t="shared" si="5"/>
        <v>2484.9194961102503</v>
      </c>
      <c r="I57" s="34">
        <f t="shared" si="6"/>
        <v>1449.5363727309793</v>
      </c>
      <c r="J57" s="34">
        <f t="shared" si="7"/>
        <v>920.34055411490749</v>
      </c>
      <c r="K57" s="34">
        <f t="shared" si="8"/>
        <v>12717.956032175378</v>
      </c>
      <c r="L57" s="40">
        <f>'[3]прогноз на 2020 г'!$D$26/1000</f>
        <v>471.10831920000004</v>
      </c>
      <c r="M57" s="34">
        <f t="shared" si="9"/>
        <v>67.301188457142857</v>
      </c>
      <c r="N57" s="34">
        <f>'[2]2021 за год '!L58/7*3</f>
        <v>416.14285714285717</v>
      </c>
      <c r="O57" s="37">
        <v>47.46</v>
      </c>
      <c r="P57" s="36">
        <f t="shared" si="0"/>
        <v>3.9550000000000001</v>
      </c>
      <c r="Q57" s="35">
        <f>'[2]2021 за год '!M58/12*3</f>
        <v>11.865</v>
      </c>
      <c r="R57" s="37">
        <v>212</v>
      </c>
      <c r="S57" s="36">
        <f t="shared" si="10"/>
        <v>53</v>
      </c>
      <c r="T57" s="37"/>
      <c r="U57" s="37">
        <f t="shared" si="11"/>
        <v>0</v>
      </c>
      <c r="V57" s="78"/>
      <c r="W57" s="79"/>
      <c r="X57" s="24">
        <f t="shared" si="12"/>
        <v>13202.918889318235</v>
      </c>
    </row>
    <row r="58" spans="1:24" s="6" customFormat="1" ht="15.75" hidden="1">
      <c r="A58" s="41">
        <v>53</v>
      </c>
      <c r="B58" s="42" t="s">
        <v>76</v>
      </c>
      <c r="C58" s="43">
        <f>'[1]Свод '!$J$57/1000</f>
        <v>7420.7923418682676</v>
      </c>
      <c r="D58" s="43">
        <f t="shared" si="1"/>
        <v>400.72278646088643</v>
      </c>
      <c r="E58" s="43">
        <f t="shared" si="2"/>
        <v>233.75495876885043</v>
      </c>
      <c r="F58" s="43">
        <f t="shared" si="3"/>
        <v>148.41584683736536</v>
      </c>
      <c r="G58" s="34">
        <f t="shared" si="4"/>
        <v>89049.508102419204</v>
      </c>
      <c r="H58" s="34">
        <f t="shared" si="5"/>
        <v>4808.6734375306369</v>
      </c>
      <c r="I58" s="34">
        <f t="shared" si="6"/>
        <v>2805.0595052262051</v>
      </c>
      <c r="J58" s="34">
        <f t="shared" si="7"/>
        <v>1780.990162048384</v>
      </c>
      <c r="K58" s="34">
        <f t="shared" si="8"/>
        <v>24611.057801806113</v>
      </c>
      <c r="L58" s="40">
        <f>'[3]прогноз на 2020 г'!$D$27/1000</f>
        <v>8098.0859896000002</v>
      </c>
      <c r="M58" s="34">
        <f t="shared" si="9"/>
        <v>1156.8694270857143</v>
      </c>
      <c r="N58" s="34">
        <f>'[2]2021 за год '!L59/7*3</f>
        <v>3470.6082812571431</v>
      </c>
      <c r="O58" s="37">
        <v>261.14</v>
      </c>
      <c r="P58" s="36">
        <f t="shared" si="0"/>
        <v>21.761666666666667</v>
      </c>
      <c r="Q58" s="35">
        <f>'[2]2021 за год '!M59/12*3</f>
        <v>65.284999999999997</v>
      </c>
      <c r="R58" s="37">
        <v>365</v>
      </c>
      <c r="S58" s="36">
        <f t="shared" si="10"/>
        <v>91.25</v>
      </c>
      <c r="T58" s="37"/>
      <c r="U58" s="37">
        <f t="shared" si="11"/>
        <v>0</v>
      </c>
      <c r="V58" s="78"/>
      <c r="W58" s="79"/>
      <c r="X58" s="24">
        <f t="shared" si="12"/>
        <v>28259.962749729923</v>
      </c>
    </row>
    <row r="59" spans="1:24" s="6" customFormat="1" ht="15.75" hidden="1">
      <c r="A59" s="41">
        <v>54</v>
      </c>
      <c r="B59" s="42" t="s">
        <v>77</v>
      </c>
      <c r="C59" s="43">
        <f>'[1]Свод '!$J$58/1000</f>
        <v>3217.4119115719004</v>
      </c>
      <c r="D59" s="43">
        <f t="shared" si="1"/>
        <v>173.74024322488262</v>
      </c>
      <c r="E59" s="43">
        <f t="shared" si="2"/>
        <v>101.34847521451488</v>
      </c>
      <c r="F59" s="43">
        <f t="shared" si="3"/>
        <v>64.348238231438003</v>
      </c>
      <c r="G59" s="34">
        <f t="shared" si="4"/>
        <v>38608.942938862805</v>
      </c>
      <c r="H59" s="34">
        <f t="shared" si="5"/>
        <v>2084.8829186985913</v>
      </c>
      <c r="I59" s="34">
        <f t="shared" si="6"/>
        <v>1216.1817025741784</v>
      </c>
      <c r="J59" s="34">
        <f t="shared" si="7"/>
        <v>772.1788587772561</v>
      </c>
      <c r="K59" s="34">
        <f t="shared" si="8"/>
        <v>10670.546604728208</v>
      </c>
      <c r="L59" s="40">
        <v>814</v>
      </c>
      <c r="M59" s="34">
        <f t="shared" si="9"/>
        <v>116.28571428571429</v>
      </c>
      <c r="N59" s="34">
        <f>'[2]2021 за год '!L60/7*3</f>
        <v>363</v>
      </c>
      <c r="O59" s="37">
        <v>84.83</v>
      </c>
      <c r="P59" s="36">
        <f t="shared" si="0"/>
        <v>7.0691666666666668</v>
      </c>
      <c r="Q59" s="35">
        <f>'[2]2021 за год '!M60/12*3</f>
        <v>21.2075</v>
      </c>
      <c r="R59" s="37">
        <v>212</v>
      </c>
      <c r="S59" s="36">
        <f t="shared" si="10"/>
        <v>53</v>
      </c>
      <c r="T59" s="37"/>
      <c r="U59" s="37">
        <f t="shared" si="11"/>
        <v>0</v>
      </c>
      <c r="V59" s="78"/>
      <c r="W59" s="79"/>
      <c r="X59" s="24">
        <f t="shared" si="12"/>
        <v>11114.823271394875</v>
      </c>
    </row>
    <row r="60" spans="1:24" s="6" customFormat="1" ht="15.75" hidden="1">
      <c r="A60" s="55">
        <v>55</v>
      </c>
      <c r="B60" s="56" t="s">
        <v>78</v>
      </c>
      <c r="C60" s="57">
        <f>'[1]Свод '!$J$59/1000</f>
        <v>8821.5752963335181</v>
      </c>
      <c r="D60" s="43">
        <f t="shared" si="1"/>
        <v>476.36506600200994</v>
      </c>
      <c r="E60" s="43">
        <f t="shared" si="2"/>
        <v>277.87962183450583</v>
      </c>
      <c r="F60" s="43">
        <f t="shared" si="3"/>
        <v>176.43150592667035</v>
      </c>
      <c r="G60" s="34">
        <f t="shared" si="4"/>
        <v>105858.90355600222</v>
      </c>
      <c r="H60" s="34">
        <f t="shared" si="5"/>
        <v>5716.3807920241197</v>
      </c>
      <c r="I60" s="34">
        <f t="shared" si="6"/>
        <v>3334.5554620140701</v>
      </c>
      <c r="J60" s="34">
        <f t="shared" si="7"/>
        <v>2117.1780711200445</v>
      </c>
      <c r="K60" s="34">
        <f t="shared" si="8"/>
        <v>29256.75447029011</v>
      </c>
      <c r="L60" s="40">
        <v>8321.1</v>
      </c>
      <c r="M60" s="34">
        <f t="shared" si="9"/>
        <v>1188.7285714285715</v>
      </c>
      <c r="N60" s="34">
        <f>'[2]2021 за год '!L61/7*3</f>
        <v>3994.7142857142862</v>
      </c>
      <c r="O60" s="37">
        <v>943.3</v>
      </c>
      <c r="P60" s="36">
        <f t="shared" si="0"/>
        <v>78.608333333333334</v>
      </c>
      <c r="Q60" s="35">
        <f>'[2]2021 за год '!M61/12*3</f>
        <v>260.82499999999999</v>
      </c>
      <c r="R60" s="37">
        <v>397</v>
      </c>
      <c r="S60" s="36">
        <f t="shared" si="10"/>
        <v>99.25</v>
      </c>
      <c r="T60" s="37">
        <v>200</v>
      </c>
      <c r="U60" s="37">
        <f t="shared" si="11"/>
        <v>50</v>
      </c>
      <c r="V60" s="78"/>
      <c r="W60" s="79"/>
      <c r="X60" s="24">
        <f t="shared" si="12"/>
        <v>33740.152089337724</v>
      </c>
    </row>
    <row r="61" spans="1:24" s="6" customFormat="1" ht="15.75" hidden="1">
      <c r="A61" s="41">
        <v>56</v>
      </c>
      <c r="B61" s="42" t="s">
        <v>79</v>
      </c>
      <c r="C61" s="43">
        <f>'[1]Свод '!$J$66/1000</f>
        <v>993.27941164430899</v>
      </c>
      <c r="D61" s="43">
        <f t="shared" si="1"/>
        <v>53.637088228792678</v>
      </c>
      <c r="E61" s="43">
        <f t="shared" si="2"/>
        <v>31.288301466795733</v>
      </c>
      <c r="F61" s="43">
        <f t="shared" si="3"/>
        <v>19.865588232886179</v>
      </c>
      <c r="G61" s="34">
        <f t="shared" si="4"/>
        <v>11919.352939731707</v>
      </c>
      <c r="H61" s="34">
        <f t="shared" si="5"/>
        <v>643.64505874551219</v>
      </c>
      <c r="I61" s="34">
        <f t="shared" si="6"/>
        <v>375.45961760154881</v>
      </c>
      <c r="J61" s="34">
        <f t="shared" si="7"/>
        <v>238.38705879463416</v>
      </c>
      <c r="K61" s="34">
        <f t="shared" si="8"/>
        <v>3294.2111687183506</v>
      </c>
      <c r="L61" s="40">
        <f>'[3]прогноз на 2020 г'!$D$28/1000</f>
        <v>5206.647954</v>
      </c>
      <c r="M61" s="34">
        <f t="shared" si="9"/>
        <v>743.80685057142853</v>
      </c>
      <c r="N61" s="34">
        <f>'[2]2021 за год '!L62/7*3</f>
        <v>2231.1428571428569</v>
      </c>
      <c r="O61" s="37">
        <v>75.5</v>
      </c>
      <c r="P61" s="36">
        <f t="shared" si="0"/>
        <v>6.291666666666667</v>
      </c>
      <c r="Q61" s="35">
        <f>'[2]2021 за год '!M62/12*3</f>
        <v>18.875</v>
      </c>
      <c r="R61" s="37">
        <v>212</v>
      </c>
      <c r="S61" s="36">
        <f t="shared" si="10"/>
        <v>53</v>
      </c>
      <c r="T61" s="37"/>
      <c r="U61" s="37">
        <f t="shared" si="11"/>
        <v>0</v>
      </c>
      <c r="V61" s="78"/>
      <c r="W61" s="79"/>
      <c r="X61" s="24">
        <f t="shared" si="12"/>
        <v>5603.5206925278744</v>
      </c>
    </row>
    <row r="62" spans="1:24" s="6" customFormat="1" ht="15.75" hidden="1">
      <c r="A62" s="41">
        <v>57</v>
      </c>
      <c r="B62" s="42" t="s">
        <v>80</v>
      </c>
      <c r="C62" s="43">
        <f>'[1]Свод '!$J$68/1000</f>
        <v>1052.6529652704471</v>
      </c>
      <c r="D62" s="43">
        <f t="shared" si="1"/>
        <v>56.843260124604143</v>
      </c>
      <c r="E62" s="43">
        <f t="shared" si="2"/>
        <v>33.158568406019086</v>
      </c>
      <c r="F62" s="43">
        <f t="shared" si="3"/>
        <v>21.053059305408944</v>
      </c>
      <c r="G62" s="34">
        <f t="shared" si="4"/>
        <v>12631.835583245365</v>
      </c>
      <c r="H62" s="34">
        <f t="shared" si="5"/>
        <v>682.11912149524971</v>
      </c>
      <c r="I62" s="34">
        <f t="shared" si="6"/>
        <v>397.90282087222909</v>
      </c>
      <c r="J62" s="34">
        <f t="shared" si="7"/>
        <v>252.63671166490732</v>
      </c>
      <c r="K62" s="34">
        <f t="shared" si="8"/>
        <v>3491.1235593194378</v>
      </c>
      <c r="L62" s="40">
        <f>'[3]прогноз на 2020 г'!$D$36/1000</f>
        <v>344.32097100000004</v>
      </c>
      <c r="M62" s="34">
        <f t="shared" si="9"/>
        <v>49.188710142857147</v>
      </c>
      <c r="N62" s="34">
        <f>'[2]2021 за год '!L63/7*3</f>
        <v>147.56613042857146</v>
      </c>
      <c r="O62" s="37">
        <v>54.3</v>
      </c>
      <c r="P62" s="36">
        <f t="shared" si="0"/>
        <v>4.5249999999999995</v>
      </c>
      <c r="Q62" s="35">
        <f>'[2]2021 за год '!M63/12*3</f>
        <v>13.574999999999999</v>
      </c>
      <c r="R62" s="37">
        <v>211</v>
      </c>
      <c r="S62" s="36">
        <f t="shared" si="10"/>
        <v>52.75</v>
      </c>
      <c r="T62" s="37"/>
      <c r="U62" s="37">
        <f t="shared" si="11"/>
        <v>0</v>
      </c>
      <c r="V62" s="78"/>
      <c r="W62" s="79"/>
      <c r="X62" s="24">
        <f t="shared" si="12"/>
        <v>3709.5396897480091</v>
      </c>
    </row>
    <row r="63" spans="1:24" s="6" customFormat="1" ht="15.75" hidden="1">
      <c r="A63" s="41">
        <v>58</v>
      </c>
      <c r="B63" s="56" t="s">
        <v>81</v>
      </c>
      <c r="C63" s="57">
        <f>'[1]Свод '!$J$61/1000</f>
        <v>1148.8544637297257</v>
      </c>
      <c r="D63" s="43">
        <f t="shared" si="1"/>
        <v>62.038141041405183</v>
      </c>
      <c r="E63" s="43">
        <f t="shared" si="2"/>
        <v>36.188915607486358</v>
      </c>
      <c r="F63" s="43">
        <f t="shared" si="3"/>
        <v>22.977089274594515</v>
      </c>
      <c r="G63" s="34">
        <f t="shared" si="4"/>
        <v>13786.253564756709</v>
      </c>
      <c r="H63" s="34">
        <f t="shared" si="5"/>
        <v>744.45769249686225</v>
      </c>
      <c r="I63" s="34">
        <f t="shared" si="6"/>
        <v>434.26698728983638</v>
      </c>
      <c r="J63" s="34">
        <f t="shared" si="7"/>
        <v>275.72507129513417</v>
      </c>
      <c r="K63" s="34">
        <f t="shared" si="8"/>
        <v>3810.1758289596355</v>
      </c>
      <c r="L63" s="40">
        <f>'[3]прогноз на 2020 г'!$D$29/1000</f>
        <v>352.25858840000006</v>
      </c>
      <c r="M63" s="34">
        <f t="shared" si="9"/>
        <v>50.322655485714293</v>
      </c>
      <c r="N63" s="34">
        <f>'[2]2021 за год '!L64/7*3</f>
        <v>150.96796645714289</v>
      </c>
      <c r="O63" s="37">
        <v>17.3</v>
      </c>
      <c r="P63" s="36">
        <f t="shared" si="0"/>
        <v>1.4416666666666667</v>
      </c>
      <c r="Q63" s="35">
        <f>'[2]2021 за год '!M64/12*3</f>
        <v>19.324999999999999</v>
      </c>
      <c r="R63" s="37">
        <v>211</v>
      </c>
      <c r="S63" s="36">
        <f t="shared" si="10"/>
        <v>52.75</v>
      </c>
      <c r="T63" s="37"/>
      <c r="U63" s="37">
        <f t="shared" si="11"/>
        <v>0</v>
      </c>
      <c r="V63" s="78"/>
      <c r="W63" s="79"/>
      <c r="X63" s="24">
        <f t="shared" si="12"/>
        <v>4034.6604620834451</v>
      </c>
    </row>
    <row r="64" spans="1:24" s="6" customFormat="1" ht="15.75" hidden="1">
      <c r="A64" s="41">
        <v>59</v>
      </c>
      <c r="B64" s="56" t="s">
        <v>82</v>
      </c>
      <c r="C64" s="57">
        <f>'[1]Свод '!$J$63/1000</f>
        <v>1032.8425298943091</v>
      </c>
      <c r="D64" s="43">
        <f t="shared" si="1"/>
        <v>55.773496614292689</v>
      </c>
      <c r="E64" s="43">
        <f t="shared" si="2"/>
        <v>32.534539691670737</v>
      </c>
      <c r="F64" s="43">
        <f t="shared" si="3"/>
        <v>20.656850597886184</v>
      </c>
      <c r="G64" s="34">
        <f t="shared" si="4"/>
        <v>12394.110358731708</v>
      </c>
      <c r="H64" s="34">
        <f t="shared" si="5"/>
        <v>669.28195937151224</v>
      </c>
      <c r="I64" s="34">
        <f t="shared" si="6"/>
        <v>390.41447630004888</v>
      </c>
      <c r="J64" s="34">
        <f t="shared" si="7"/>
        <v>247.88220717463417</v>
      </c>
      <c r="K64" s="34">
        <f t="shared" si="8"/>
        <v>3425.4222503944766</v>
      </c>
      <c r="L64" s="40">
        <f>'[3]прогноз на 2020 г'!$D$30/1000</f>
        <v>495.77929220000004</v>
      </c>
      <c r="M64" s="34">
        <f t="shared" si="9"/>
        <v>70.825613171428571</v>
      </c>
      <c r="N64" s="34">
        <f>'[2]2021 за год '!L65/7*3</f>
        <v>212.4768395142857</v>
      </c>
      <c r="O64" s="37">
        <v>77.5</v>
      </c>
      <c r="P64" s="36">
        <f t="shared" si="0"/>
        <v>6.458333333333333</v>
      </c>
      <c r="Q64" s="35">
        <f>'[2]2021 за год '!M65/12*3</f>
        <v>24.450000000000003</v>
      </c>
      <c r="R64" s="37">
        <v>211</v>
      </c>
      <c r="S64" s="36">
        <f t="shared" si="10"/>
        <v>52.75</v>
      </c>
      <c r="T64" s="37"/>
      <c r="U64" s="37">
        <f t="shared" si="11"/>
        <v>0</v>
      </c>
      <c r="V64" s="78"/>
      <c r="W64" s="79"/>
      <c r="X64" s="24">
        <f t="shared" si="12"/>
        <v>3721.5574232420954</v>
      </c>
    </row>
    <row r="65" spans="1:27" s="6" customFormat="1" ht="15.75" hidden="1">
      <c r="A65" s="41">
        <v>60</v>
      </c>
      <c r="B65" s="42" t="s">
        <v>83</v>
      </c>
      <c r="C65" s="43">
        <f>'[1]Свод '!$J$62/1000</f>
        <v>1161.6303581651423</v>
      </c>
      <c r="D65" s="43">
        <f t="shared" si="1"/>
        <v>62.72803934091769</v>
      </c>
      <c r="E65" s="43">
        <f t="shared" si="2"/>
        <v>36.591356282201986</v>
      </c>
      <c r="F65" s="43">
        <f t="shared" si="3"/>
        <v>23.232607163302845</v>
      </c>
      <c r="G65" s="34">
        <f t="shared" si="4"/>
        <v>13939.564297981708</v>
      </c>
      <c r="H65" s="34">
        <f t="shared" si="5"/>
        <v>752.73647209101216</v>
      </c>
      <c r="I65" s="34">
        <f t="shared" si="6"/>
        <v>439.09627538642383</v>
      </c>
      <c r="J65" s="34">
        <f t="shared" si="7"/>
        <v>278.79128595963414</v>
      </c>
      <c r="K65" s="34">
        <f t="shared" si="8"/>
        <v>3852.547082854695</v>
      </c>
      <c r="L65" s="40">
        <v>7918</v>
      </c>
      <c r="M65" s="34">
        <f t="shared" si="9"/>
        <v>1131.1428571428571</v>
      </c>
      <c r="N65" s="34">
        <f>'[2]2021 за год '!L66/7*3</f>
        <v>2536.2857142857142</v>
      </c>
      <c r="O65" s="37">
        <v>195.37</v>
      </c>
      <c r="P65" s="36">
        <f t="shared" si="0"/>
        <v>16.280833333333334</v>
      </c>
      <c r="Q65" s="35">
        <f>'[2]2021 за год '!M66/12*3</f>
        <v>48.842500000000001</v>
      </c>
      <c r="R65" s="37">
        <v>211</v>
      </c>
      <c r="S65" s="36">
        <f t="shared" si="10"/>
        <v>52.75</v>
      </c>
      <c r="T65" s="37"/>
      <c r="U65" s="37">
        <f t="shared" si="11"/>
        <v>0</v>
      </c>
      <c r="V65" s="78"/>
      <c r="W65" s="79"/>
      <c r="X65" s="24">
        <f t="shared" si="12"/>
        <v>6506.7061304737417</v>
      </c>
    </row>
    <row r="66" spans="1:27" s="6" customFormat="1" ht="15.75" hidden="1">
      <c r="A66" s="41">
        <v>61</v>
      </c>
      <c r="B66" s="56" t="s">
        <v>84</v>
      </c>
      <c r="C66" s="57">
        <f>'[1]Свод '!$J$67/1000</f>
        <v>1292.3081337484759</v>
      </c>
      <c r="D66" s="43">
        <f t="shared" si="1"/>
        <v>69.784639222417695</v>
      </c>
      <c r="E66" s="43">
        <f t="shared" si="2"/>
        <v>40.707706213076996</v>
      </c>
      <c r="F66" s="43">
        <f t="shared" si="3"/>
        <v>25.84616267496952</v>
      </c>
      <c r="G66" s="34">
        <f t="shared" si="4"/>
        <v>15507.697604981711</v>
      </c>
      <c r="H66" s="34">
        <f t="shared" si="5"/>
        <v>837.41567066901234</v>
      </c>
      <c r="I66" s="34">
        <f t="shared" si="6"/>
        <v>488.49247455692392</v>
      </c>
      <c r="J66" s="34">
        <f t="shared" si="7"/>
        <v>310.15395209963424</v>
      </c>
      <c r="K66" s="34">
        <f t="shared" si="8"/>
        <v>4285.9399255768203</v>
      </c>
      <c r="L66" s="40">
        <f>'[3]прогноз на 2020 г'!$D$31/1000</f>
        <v>1393.5881792000002</v>
      </c>
      <c r="M66" s="34">
        <f t="shared" si="9"/>
        <v>199.08402560000005</v>
      </c>
      <c r="N66" s="34">
        <f>'[2]2021 за год '!L67/7*3</f>
        <v>597.25207680000017</v>
      </c>
      <c r="O66" s="37">
        <v>65.5</v>
      </c>
      <c r="P66" s="36">
        <f t="shared" si="0"/>
        <v>5.458333333333333</v>
      </c>
      <c r="Q66" s="35">
        <f>'[2]2021 за год '!M67/12*3</f>
        <v>16.375</v>
      </c>
      <c r="R66" s="37">
        <v>211</v>
      </c>
      <c r="S66" s="36">
        <f t="shared" si="10"/>
        <v>52.75</v>
      </c>
      <c r="T66" s="37">
        <v>29</v>
      </c>
      <c r="U66" s="37">
        <f t="shared" si="11"/>
        <v>7.25</v>
      </c>
      <c r="V66" s="78"/>
      <c r="W66" s="79"/>
      <c r="X66" s="24">
        <f t="shared" si="12"/>
        <v>4965.0253357101537</v>
      </c>
    </row>
    <row r="67" spans="1:27" s="6" customFormat="1" ht="15.75" hidden="1">
      <c r="A67" s="41">
        <v>62</v>
      </c>
      <c r="B67" s="42" t="s">
        <v>85</v>
      </c>
      <c r="C67" s="43">
        <f>'[1]Свод '!$J$64/1000</f>
        <v>869.21372860378051</v>
      </c>
      <c r="D67" s="43">
        <f t="shared" si="1"/>
        <v>46.937541344604149</v>
      </c>
      <c r="E67" s="43">
        <f t="shared" si="2"/>
        <v>27.38023245101909</v>
      </c>
      <c r="F67" s="43">
        <f t="shared" si="3"/>
        <v>17.384274572075611</v>
      </c>
      <c r="G67" s="34">
        <f t="shared" si="4"/>
        <v>10430.564743245366</v>
      </c>
      <c r="H67" s="34">
        <f t="shared" si="5"/>
        <v>563.25049613524982</v>
      </c>
      <c r="I67" s="34">
        <f t="shared" si="6"/>
        <v>328.56278941222911</v>
      </c>
      <c r="J67" s="34">
        <f t="shared" si="7"/>
        <v>208.61129486490734</v>
      </c>
      <c r="K67" s="34">
        <f t="shared" si="8"/>
        <v>2882.747330914438</v>
      </c>
      <c r="L67" s="40">
        <f>'[3]прогноз на 2020 г'!$D$32/1000</f>
        <v>1898.1632095999996</v>
      </c>
      <c r="M67" s="34">
        <f t="shared" si="9"/>
        <v>271.16617279999997</v>
      </c>
      <c r="N67" s="34">
        <f>'[2]2021 за год '!L68/7*3</f>
        <v>813.49851839999997</v>
      </c>
      <c r="O67" s="37">
        <v>25.8</v>
      </c>
      <c r="P67" s="36">
        <f t="shared" si="0"/>
        <v>2.15</v>
      </c>
      <c r="Q67" s="35">
        <f>'[2]2021 за год '!M68/12*3</f>
        <v>6.4499999999999993</v>
      </c>
      <c r="R67" s="37">
        <v>211</v>
      </c>
      <c r="S67" s="36">
        <f t="shared" si="10"/>
        <v>52.75</v>
      </c>
      <c r="T67" s="37"/>
      <c r="U67" s="37">
        <f t="shared" si="11"/>
        <v>0</v>
      </c>
      <c r="V67" s="78"/>
      <c r="W67" s="79"/>
      <c r="X67" s="24">
        <f t="shared" si="12"/>
        <v>3757.5958493144376</v>
      </c>
    </row>
    <row r="68" spans="1:27" s="6" customFormat="1" ht="15.75" hidden="1">
      <c r="A68" s="41">
        <v>63</v>
      </c>
      <c r="B68" s="56" t="s">
        <v>86</v>
      </c>
      <c r="C68" s="57">
        <f>'[1]Свод '!$J$65/1000</f>
        <v>1154.8102987829473</v>
      </c>
      <c r="D68" s="43">
        <f t="shared" si="1"/>
        <v>62.359756134279145</v>
      </c>
      <c r="E68" s="43">
        <f t="shared" si="2"/>
        <v>36.376524411662842</v>
      </c>
      <c r="F68" s="43">
        <f t="shared" si="3"/>
        <v>23.096205975658947</v>
      </c>
      <c r="G68" s="34">
        <f>C68*12</f>
        <v>13857.723585395368</v>
      </c>
      <c r="H68" s="34">
        <f t="shared" si="5"/>
        <v>748.31707361134988</v>
      </c>
      <c r="I68" s="34">
        <f t="shared" si="6"/>
        <v>436.51829293995416</v>
      </c>
      <c r="J68" s="34">
        <f t="shared" si="7"/>
        <v>277.15447170790736</v>
      </c>
      <c r="K68" s="34">
        <f t="shared" si="8"/>
        <v>3829.9283559136447</v>
      </c>
      <c r="L68" s="40">
        <f>'[3]прогноз на 2020 г'!$D$33/1000</f>
        <v>691.85989500000005</v>
      </c>
      <c r="M68" s="34">
        <f t="shared" si="9"/>
        <v>98.83712785714286</v>
      </c>
      <c r="N68" s="34">
        <f>'[2]2021 за год '!L69/7*3</f>
        <v>296.51138357142861</v>
      </c>
      <c r="O68" s="37">
        <v>26.33</v>
      </c>
      <c r="P68" s="36">
        <f t="shared" si="0"/>
        <v>2.1941666666666664</v>
      </c>
      <c r="Q68" s="35">
        <f>'[2]2021 за год '!M69/12*3</f>
        <v>6.5824999999999996</v>
      </c>
      <c r="R68" s="37">
        <v>211</v>
      </c>
      <c r="S68" s="36">
        <f t="shared" si="10"/>
        <v>52.75</v>
      </c>
      <c r="T68" s="37"/>
      <c r="U68" s="37">
        <f t="shared" si="11"/>
        <v>0</v>
      </c>
      <c r="V68" s="78"/>
      <c r="W68" s="79"/>
      <c r="X68" s="24">
        <f t="shared" si="12"/>
        <v>4187.9664061517406</v>
      </c>
    </row>
    <row r="69" spans="1:27" s="6" customFormat="1" ht="15.75" hidden="1">
      <c r="A69" s="41">
        <v>64</v>
      </c>
      <c r="B69" s="42" t="s">
        <v>87</v>
      </c>
      <c r="C69" s="43">
        <f>'[1]Свод '!$J$60/1000</f>
        <v>1565.6191166996141</v>
      </c>
      <c r="D69" s="43">
        <f t="shared" si="1"/>
        <v>84.543432301779163</v>
      </c>
      <c r="E69" s="43">
        <f t="shared" si="2"/>
        <v>49.317002176037853</v>
      </c>
      <c r="F69" s="43">
        <f t="shared" si="3"/>
        <v>31.312382333992282</v>
      </c>
      <c r="G69" s="34">
        <f t="shared" si="4"/>
        <v>18787.429400395369</v>
      </c>
      <c r="H69" s="34">
        <f t="shared" si="5"/>
        <v>1014.5211876213499</v>
      </c>
      <c r="I69" s="34">
        <f t="shared" si="6"/>
        <v>591.80402611245415</v>
      </c>
      <c r="J69" s="34">
        <f t="shared" si="7"/>
        <v>375.74858800790741</v>
      </c>
      <c r="K69" s="34">
        <f t="shared" si="8"/>
        <v>5192.3758005342697</v>
      </c>
      <c r="L69" s="40">
        <f>'[3]прогноз на 2020 г'!$D$34/1000</f>
        <v>944.57647060000011</v>
      </c>
      <c r="M69" s="34">
        <f t="shared" si="9"/>
        <v>134.9394958</v>
      </c>
      <c r="N69" s="34">
        <f>'[2]2021 за год '!L70/7*3</f>
        <v>390</v>
      </c>
      <c r="O69" s="37">
        <v>44.66</v>
      </c>
      <c r="P69" s="36">
        <f t="shared" si="0"/>
        <v>3.7216666666666662</v>
      </c>
      <c r="Q69" s="35">
        <f>'[2]2021 за год '!M70/12*3</f>
        <v>11.164999999999999</v>
      </c>
      <c r="R69" s="37">
        <v>211</v>
      </c>
      <c r="S69" s="36">
        <f t="shared" si="10"/>
        <v>52.75</v>
      </c>
      <c r="T69" s="37"/>
      <c r="U69" s="37">
        <f t="shared" si="11"/>
        <v>0</v>
      </c>
      <c r="V69" s="78"/>
      <c r="W69" s="79"/>
      <c r="X69" s="24">
        <f t="shared" si="12"/>
        <v>5650.012467200936</v>
      </c>
    </row>
    <row r="70" spans="1:27" s="6" customFormat="1" ht="15.75" hidden="1">
      <c r="A70" s="41"/>
      <c r="B70" s="42" t="s">
        <v>88</v>
      </c>
      <c r="C70" s="43">
        <f>'[1]Свод '!$I$77/1000</f>
        <v>5328.1502674687508</v>
      </c>
      <c r="D70" s="43">
        <f t="shared" si="1"/>
        <v>287.72011444331253</v>
      </c>
      <c r="E70" s="43">
        <f t="shared" si="2"/>
        <v>167.83673342526566</v>
      </c>
      <c r="F70" s="43">
        <f t="shared" si="3"/>
        <v>106.56300534937502</v>
      </c>
      <c r="G70" s="34">
        <f t="shared" si="4"/>
        <v>63937.80320962501</v>
      </c>
      <c r="H70" s="34">
        <f>(G70-G70*10%)*6%</f>
        <v>3452.6413733197505</v>
      </c>
      <c r="I70" s="34">
        <f>(G70-G70*10%)*3.5%</f>
        <v>2014.0408011031882</v>
      </c>
      <c r="J70" s="34">
        <f t="shared" si="7"/>
        <v>1278.7560641925002</v>
      </c>
      <c r="K70" s="34">
        <f t="shared" si="8"/>
        <v>17670.81036206011</v>
      </c>
      <c r="L70" s="40"/>
      <c r="M70" s="34">
        <f t="shared" si="9"/>
        <v>0</v>
      </c>
      <c r="N70" s="34">
        <f>'[2]2021 за год '!L71/7*3</f>
        <v>0</v>
      </c>
      <c r="O70" s="37">
        <v>1468.8</v>
      </c>
      <c r="P70" s="36">
        <f t="shared" si="0"/>
        <v>122.39999999999999</v>
      </c>
      <c r="Q70" s="35">
        <f>'[2]2021 за год '!M71/12*3</f>
        <v>348.7</v>
      </c>
      <c r="R70" s="37">
        <v>3814</v>
      </c>
      <c r="S70" s="36">
        <f t="shared" si="10"/>
        <v>953.5</v>
      </c>
      <c r="T70" s="37"/>
      <c r="U70" s="37">
        <f t="shared" si="11"/>
        <v>0</v>
      </c>
      <c r="V70" s="78"/>
      <c r="W70" s="79"/>
      <c r="X70" s="24">
        <f t="shared" si="12"/>
        <v>19095.410362060113</v>
      </c>
    </row>
    <row r="71" spans="1:27" s="6" customFormat="1" ht="15.75" hidden="1">
      <c r="A71" s="41"/>
      <c r="B71" s="42" t="s">
        <v>89</v>
      </c>
      <c r="C71" s="43">
        <f>'[1]Свод '!$J$69/1000</f>
        <v>4059.1403163020832</v>
      </c>
      <c r="D71" s="43">
        <f t="shared" si="1"/>
        <v>219.19357708031248</v>
      </c>
      <c r="E71" s="43">
        <f t="shared" si="2"/>
        <v>127.86291996351564</v>
      </c>
      <c r="F71" s="43">
        <f t="shared" si="3"/>
        <v>81.182806326041671</v>
      </c>
      <c r="G71" s="34">
        <f t="shared" si="4"/>
        <v>48709.683795624995</v>
      </c>
      <c r="H71" s="34">
        <f>(G71-G71*10%)*6%</f>
        <v>2630.3229249637493</v>
      </c>
      <c r="I71" s="34">
        <f>(G71-G71*10%)*3.5%</f>
        <v>1534.3550395621874</v>
      </c>
      <c r="J71" s="34">
        <f t="shared" si="7"/>
        <v>974.19367591249988</v>
      </c>
      <c r="K71" s="34">
        <f t="shared" si="8"/>
        <v>13462.13885901586</v>
      </c>
      <c r="L71" s="40"/>
      <c r="M71" s="34">
        <f t="shared" si="9"/>
        <v>0</v>
      </c>
      <c r="N71" s="34">
        <f>'[2]2021 за год '!L72/7*3</f>
        <v>0</v>
      </c>
      <c r="O71" s="37"/>
      <c r="P71" s="58"/>
      <c r="Q71" s="37"/>
      <c r="R71" s="37"/>
      <c r="S71" s="36">
        <f t="shared" si="10"/>
        <v>0</v>
      </c>
      <c r="T71" s="37"/>
      <c r="U71" s="37"/>
      <c r="V71" s="80"/>
      <c r="W71" s="81"/>
      <c r="X71" s="24">
        <f t="shared" si="12"/>
        <v>13462.13885901586</v>
      </c>
    </row>
    <row r="72" spans="1:27" s="64" customFormat="1" ht="15.75" hidden="1">
      <c r="A72" s="59"/>
      <c r="B72" s="60" t="s">
        <v>90</v>
      </c>
      <c r="C72" s="61">
        <f>SUM(C7:C71)</f>
        <v>430281.9167222922</v>
      </c>
      <c r="D72" s="33">
        <f>(C72-C72*10%)*6%</f>
        <v>23235.223503003777</v>
      </c>
      <c r="E72" s="33">
        <f>(C72-C72*10%)*3.5%</f>
        <v>13553.880376752206</v>
      </c>
      <c r="F72" s="33">
        <f>C72*2%</f>
        <v>8605.6383344458445</v>
      </c>
      <c r="G72" s="33">
        <f t="shared" ref="G72:J72" si="13">D72*2%</f>
        <v>464.70447006007555</v>
      </c>
      <c r="H72" s="33">
        <f t="shared" si="13"/>
        <v>271.07760753504414</v>
      </c>
      <c r="I72" s="33">
        <f t="shared" si="13"/>
        <v>172.11276668891691</v>
      </c>
      <c r="J72" s="33">
        <f t="shared" si="13"/>
        <v>9.2940894012015107</v>
      </c>
      <c r="K72" s="43">
        <f>SUM(K7:K71)</f>
        <v>1427029.9768094816</v>
      </c>
      <c r="L72" s="62">
        <f>SUM(L7:L71)</f>
        <v>408545.6402044</v>
      </c>
      <c r="M72" s="62">
        <f>SUM(M7:M71)</f>
        <v>58363.66288634287</v>
      </c>
      <c r="N72" s="34">
        <f>SUM(N7:N71)</f>
        <v>163176.18530091437</v>
      </c>
      <c r="O72" s="62">
        <f>SUM(O7:O71)</f>
        <v>32151.409999999993</v>
      </c>
      <c r="P72" s="62">
        <f t="shared" ref="P72:W72" si="14">SUM(P7:P71)</f>
        <v>2679.2841666666668</v>
      </c>
      <c r="Q72" s="62">
        <f t="shared" si="14"/>
        <v>9373.4725000000053</v>
      </c>
      <c r="R72" s="62">
        <f>SUM(R7:R71)</f>
        <v>19330.7</v>
      </c>
      <c r="S72" s="36">
        <f t="shared" ref="S72" si="15">R72/12*3</f>
        <v>4832.6750000000002</v>
      </c>
      <c r="T72" s="62">
        <f t="shared" si="14"/>
        <v>4345</v>
      </c>
      <c r="U72" s="62">
        <f t="shared" si="14"/>
        <v>1086.25</v>
      </c>
      <c r="V72" s="62">
        <f t="shared" si="14"/>
        <v>0</v>
      </c>
      <c r="W72" s="62">
        <f t="shared" si="14"/>
        <v>0</v>
      </c>
      <c r="X72" s="62">
        <f>SUM(X7:X71)</f>
        <v>1608177.8437770633</v>
      </c>
      <c r="Y72" s="63"/>
      <c r="Z72" s="63"/>
      <c r="AA72" s="63"/>
    </row>
    <row r="73" spans="1:27" hidden="1">
      <c r="L73" s="66">
        <v>408546</v>
      </c>
      <c r="O73" s="67">
        <v>38998</v>
      </c>
      <c r="R73" s="67">
        <v>45046</v>
      </c>
      <c r="T73" s="67">
        <v>4382</v>
      </c>
      <c r="X73" s="5" t="s">
        <v>91</v>
      </c>
    </row>
    <row r="74" spans="1:27" hidden="1">
      <c r="L74" s="66">
        <f>L73-L72</f>
        <v>0.35979560000123456</v>
      </c>
    </row>
    <row r="75" spans="1:27">
      <c r="R75" s="66"/>
    </row>
    <row r="76" spans="1:27" ht="15.75">
      <c r="B76" s="69"/>
      <c r="C76" s="70"/>
      <c r="D76" s="70"/>
      <c r="E76" s="70"/>
      <c r="F76" s="70"/>
      <c r="G76" s="71"/>
      <c r="H76" s="71"/>
      <c r="I76" s="71"/>
      <c r="J76" s="71"/>
      <c r="K76" s="71"/>
      <c r="L76" s="71"/>
      <c r="M76" s="71"/>
      <c r="N76" s="71"/>
      <c r="O76" s="66"/>
      <c r="Q76" s="66"/>
    </row>
    <row r="77" spans="1:27">
      <c r="B77" s="72"/>
      <c r="C77" s="73"/>
      <c r="D77" s="73"/>
      <c r="E77" s="73"/>
      <c r="F77" s="73"/>
      <c r="G77" s="74"/>
      <c r="H77" s="74"/>
      <c r="I77" s="74"/>
      <c r="J77" s="74"/>
      <c r="K77" s="74"/>
      <c r="L77" s="74"/>
      <c r="M77" s="74"/>
      <c r="N77" s="74"/>
    </row>
    <row r="78" spans="1:27">
      <c r="O78" s="66"/>
      <c r="Q78" s="66"/>
    </row>
    <row r="79" spans="1:27">
      <c r="O79" s="66"/>
      <c r="Q79" s="66"/>
    </row>
    <row r="80" spans="1:27">
      <c r="O80" s="66"/>
      <c r="Q80" s="66"/>
    </row>
  </sheetData>
  <autoFilter ref="A3:X74">
    <filterColumn colId="0">
      <filters>
        <filter val="14"/>
      </filters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8">
    <mergeCell ref="W5:W6"/>
    <mergeCell ref="V7:W71"/>
    <mergeCell ref="B1:J1"/>
    <mergeCell ref="B2:T2"/>
    <mergeCell ref="B3:I3"/>
    <mergeCell ref="D5:F5"/>
    <mergeCell ref="H5:J5"/>
    <mergeCell ref="L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2021-03-04T09:47:06Z</dcterms:modified>
</cp:coreProperties>
</file>