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1760"/>
  </bookViews>
  <sheets>
    <sheet name="2020" sheetId="7" r:id="rId1"/>
    <sheet name="разница" sheetId="8" r:id="rId2"/>
  </sheets>
  <definedNames>
    <definedName name="_xlnm.Print_Area" localSheetId="1">разница!$A$1:$CM$72</definedName>
  </definedNames>
  <calcPr calcId="152511"/>
</workbook>
</file>

<file path=xl/calcChain.xml><?xml version="1.0" encoding="utf-8"?>
<calcChain xmlns="http://schemas.openxmlformats.org/spreadsheetml/2006/main">
  <c r="AB18" i="7" l="1"/>
  <c r="AB16" i="7"/>
  <c r="AB15" i="7"/>
  <c r="AB14" i="7"/>
  <c r="AB13" i="7"/>
  <c r="AB12" i="7"/>
  <c r="AB11" i="7"/>
  <c r="AB10" i="7"/>
  <c r="AB9" i="7"/>
  <c r="AB5" i="7"/>
  <c r="AB4" i="7"/>
  <c r="AB3" i="7"/>
  <c r="AB2" i="7"/>
  <c r="BF60" i="8" l="1"/>
  <c r="G52" i="7" l="1"/>
  <c r="G51" i="7" l="1"/>
  <c r="BX52" i="7"/>
  <c r="BV52" i="7"/>
  <c r="BT52" i="7"/>
  <c r="BR52" i="7"/>
  <c r="BP52" i="7"/>
  <c r="BN52" i="7"/>
  <c r="BL52" i="7"/>
  <c r="BJ52" i="7"/>
  <c r="BH52" i="7"/>
  <c r="BF52" i="7"/>
  <c r="BD52" i="7"/>
  <c r="BB52" i="7"/>
  <c r="AZ52" i="7"/>
  <c r="AX52" i="7"/>
  <c r="AV52" i="7"/>
  <c r="AT52" i="7"/>
  <c r="AR52" i="7"/>
  <c r="AD52" i="7"/>
  <c r="AC52" i="7"/>
  <c r="X52" i="7"/>
  <c r="W52" i="7"/>
  <c r="CE52" i="7" s="1"/>
  <c r="H52" i="7"/>
  <c r="CF52" i="7" l="1"/>
  <c r="CD52" i="7"/>
  <c r="AN52" i="7"/>
  <c r="AJ52" i="7"/>
  <c r="AH52" i="7"/>
  <c r="AF52" i="7"/>
  <c r="CB52" i="7"/>
  <c r="AM52" i="7"/>
  <c r="AK52" i="7"/>
  <c r="AI52" i="7"/>
  <c r="AG52" i="7"/>
  <c r="AL52" i="7" s="1"/>
  <c r="AE52" i="7"/>
  <c r="AO52" i="7" l="1"/>
  <c r="AP52" i="7" s="1"/>
  <c r="CH52" i="7" l="1"/>
  <c r="CJ52" i="7" s="1"/>
  <c r="CK52" i="7" s="1"/>
  <c r="CL52" i="7" s="1"/>
  <c r="G55" i="8" l="1"/>
  <c r="G34" i="8"/>
  <c r="G59" i="7"/>
  <c r="G58" i="7"/>
  <c r="G57" i="7"/>
  <c r="G55" i="7"/>
  <c r="G54" i="7"/>
  <c r="G53" i="7"/>
  <c r="G50" i="7"/>
  <c r="G49" i="7"/>
  <c r="G48" i="7"/>
  <c r="G47" i="7"/>
  <c r="G46" i="7"/>
  <c r="G45" i="7"/>
  <c r="G41" i="7"/>
  <c r="G40" i="7"/>
  <c r="G39" i="7"/>
  <c r="G38" i="7"/>
  <c r="G37" i="7"/>
  <c r="G36" i="7"/>
  <c r="G35" i="7"/>
  <c r="G32" i="7"/>
  <c r="G31" i="7"/>
  <c r="G30" i="7"/>
  <c r="G28" i="7"/>
  <c r="G29" i="7"/>
  <c r="G27" i="7"/>
  <c r="G26" i="7"/>
  <c r="G25" i="7"/>
  <c r="BR55" i="8" l="1"/>
  <c r="BP55" i="8"/>
  <c r="BN55" i="8"/>
  <c r="BL55" i="8"/>
  <c r="BJ55" i="8"/>
  <c r="BH55" i="8"/>
  <c r="BF55" i="8"/>
  <c r="BD55" i="8"/>
  <c r="BB55" i="8"/>
  <c r="AZ55" i="8"/>
  <c r="AX55" i="8"/>
  <c r="AV55" i="8"/>
  <c r="AT55" i="8"/>
  <c r="AR55" i="8"/>
  <c r="AD55" i="8"/>
  <c r="AC55" i="8"/>
  <c r="X55" i="8"/>
  <c r="W55" i="8"/>
  <c r="H55" i="8"/>
  <c r="BX34" i="8"/>
  <c r="BV34" i="8"/>
  <c r="BT34" i="8"/>
  <c r="BR34" i="8"/>
  <c r="BP34" i="8"/>
  <c r="BN34" i="8"/>
  <c r="BL34" i="8"/>
  <c r="BJ34" i="8"/>
  <c r="BH34" i="8"/>
  <c r="BF34" i="8"/>
  <c r="BD34" i="8"/>
  <c r="BB34" i="8"/>
  <c r="AZ34" i="8"/>
  <c r="AX34" i="8"/>
  <c r="AV34" i="8"/>
  <c r="AT34" i="8"/>
  <c r="AR34" i="8"/>
  <c r="AD34" i="8"/>
  <c r="AC34" i="8"/>
  <c r="X34" i="8"/>
  <c r="W34" i="8"/>
  <c r="H34" i="8"/>
  <c r="CE34" i="8" l="1"/>
  <c r="CF34" i="8" s="1"/>
  <c r="CE55" i="8"/>
  <c r="CF55" i="8" s="1"/>
  <c r="AE55" i="8"/>
  <c r="AI55" i="8"/>
  <c r="AM55" i="8"/>
  <c r="CD55" i="8"/>
  <c r="CB55" i="8"/>
  <c r="AF55" i="8"/>
  <c r="AJ55" i="8"/>
  <c r="AN55" i="8"/>
  <c r="AH55" i="8"/>
  <c r="AG55" i="8"/>
  <c r="AK55" i="8"/>
  <c r="BZ55" i="8"/>
  <c r="BZ34" i="8"/>
  <c r="AN34" i="8"/>
  <c r="AJ34" i="8"/>
  <c r="AF34" i="8"/>
  <c r="CD34" i="8"/>
  <c r="AH34" i="8"/>
  <c r="CB34" i="8"/>
  <c r="AG34" i="8"/>
  <c r="AM34" i="8"/>
  <c r="AI34" i="8"/>
  <c r="AE34" i="8"/>
  <c r="AK34" i="8"/>
  <c r="G71" i="7"/>
  <c r="G65" i="8"/>
  <c r="H65" i="8" s="1"/>
  <c r="G56" i="7"/>
  <c r="AL55" i="8" l="1"/>
  <c r="AO55" i="8"/>
  <c r="AO34" i="8"/>
  <c r="AL34" i="8"/>
  <c r="AP34" i="8" s="1"/>
  <c r="G34" i="7"/>
  <c r="AP55" i="8" l="1"/>
  <c r="CH55" i="8" s="1"/>
  <c r="CJ55" i="8" s="1"/>
  <c r="CK55" i="8" s="1"/>
  <c r="CL55" i="8" s="1"/>
  <c r="CH34" i="8"/>
  <c r="CJ34" i="8" s="1"/>
  <c r="CK34" i="8" s="1"/>
  <c r="CL34" i="8" s="1"/>
  <c r="G32" i="8" l="1"/>
  <c r="H32" i="8" s="1"/>
  <c r="H33" i="8" l="1"/>
  <c r="H42" i="8"/>
  <c r="H43" i="8"/>
  <c r="H44" i="8"/>
  <c r="H59" i="8"/>
  <c r="G45" i="8" l="1"/>
  <c r="H45" i="8" s="1"/>
  <c r="G57" i="8"/>
  <c r="H57" i="8" s="1"/>
  <c r="G60" i="8"/>
  <c r="H60" i="8" s="1"/>
  <c r="BB58" i="7"/>
  <c r="BB59" i="7"/>
  <c r="BB60" i="7"/>
  <c r="BB61" i="7"/>
  <c r="BB62" i="7"/>
  <c r="BN58" i="7"/>
  <c r="BN59" i="7"/>
  <c r="BN60" i="7"/>
  <c r="BN62" i="7"/>
  <c r="H51" i="7"/>
  <c r="BZ51" i="7" s="1"/>
  <c r="H53" i="7"/>
  <c r="AK53" i="7" s="1"/>
  <c r="H54" i="7"/>
  <c r="AH54" i="7" s="1"/>
  <c r="H55" i="7"/>
  <c r="AH55" i="7" s="1"/>
  <c r="H56" i="7"/>
  <c r="AG56" i="7" s="1"/>
  <c r="H57" i="7"/>
  <c r="AE57" i="7" s="1"/>
  <c r="H58" i="7"/>
  <c r="AE58" i="7" s="1"/>
  <c r="H59" i="7"/>
  <c r="AH59" i="7" s="1"/>
  <c r="AF51" i="7"/>
  <c r="AH51" i="7"/>
  <c r="AK51" i="7"/>
  <c r="AE53" i="7"/>
  <c r="AN53" i="7"/>
  <c r="AF54" i="7"/>
  <c r="AG54" i="7"/>
  <c r="AJ54" i="7"/>
  <c r="AK54" i="7"/>
  <c r="AE56" i="7"/>
  <c r="AF56" i="7"/>
  <c r="AH56" i="7"/>
  <c r="AI56" i="7"/>
  <c r="AJ56" i="7"/>
  <c r="AM56" i="7"/>
  <c r="AN56" i="7"/>
  <c r="AF57" i="7"/>
  <c r="AH57" i="7"/>
  <c r="AK57" i="7"/>
  <c r="AF58" i="7"/>
  <c r="AG58" i="7"/>
  <c r="AH58" i="7"/>
  <c r="AJ58" i="7"/>
  <c r="AK58" i="7"/>
  <c r="AM58" i="7"/>
  <c r="AE59" i="7"/>
  <c r="AG59" i="7"/>
  <c r="AI59" i="7"/>
  <c r="AK59" i="7"/>
  <c r="AN59" i="7"/>
  <c r="H29" i="7"/>
  <c r="H30" i="7"/>
  <c r="H31" i="7"/>
  <c r="AH31" i="7" s="1"/>
  <c r="H32" i="7"/>
  <c r="H33" i="7"/>
  <c r="H34" i="7"/>
  <c r="AH34" i="7" s="1"/>
  <c r="H35" i="7"/>
  <c r="AF35" i="7" s="1"/>
  <c r="H36" i="7"/>
  <c r="AH36" i="7" s="1"/>
  <c r="H37" i="7"/>
  <c r="AH37" i="7" s="1"/>
  <c r="H38" i="7"/>
  <c r="AE38" i="7" s="1"/>
  <c r="H39" i="7"/>
  <c r="AH39" i="7" s="1"/>
  <c r="H40" i="7"/>
  <c r="AF40" i="7" s="1"/>
  <c r="H41" i="7"/>
  <c r="H42" i="7"/>
  <c r="AG42" i="7" s="1"/>
  <c r="H43" i="7"/>
  <c r="H44" i="7"/>
  <c r="AF44" i="7" s="1"/>
  <c r="H45" i="7"/>
  <c r="AF45" i="7" s="1"/>
  <c r="H46" i="7"/>
  <c r="AG46" i="7" s="1"/>
  <c r="H47" i="7"/>
  <c r="AG47" i="7" s="1"/>
  <c r="H48" i="7"/>
  <c r="AF48" i="7" s="1"/>
  <c r="H49" i="7"/>
  <c r="H50" i="7"/>
  <c r="H60" i="7"/>
  <c r="AE60" i="7" s="1"/>
  <c r="H61" i="7"/>
  <c r="AE61" i="7" s="1"/>
  <c r="H62" i="7"/>
  <c r="AF62" i="7" s="1"/>
  <c r="AE30" i="7"/>
  <c r="AF30" i="7"/>
  <c r="AG30" i="7"/>
  <c r="AH30" i="7"/>
  <c r="AI30" i="7"/>
  <c r="AJ30" i="7"/>
  <c r="AK30" i="7"/>
  <c r="AM30" i="7"/>
  <c r="AO30" i="7" s="1"/>
  <c r="AN30" i="7"/>
  <c r="AE31" i="7"/>
  <c r="AF31" i="7"/>
  <c r="AG31" i="7"/>
  <c r="AI31" i="7"/>
  <c r="AJ31" i="7"/>
  <c r="AK31" i="7"/>
  <c r="AM31" i="7"/>
  <c r="AN31" i="7"/>
  <c r="AM32" i="7"/>
  <c r="AE33" i="7"/>
  <c r="AF33" i="7"/>
  <c r="AG33" i="7"/>
  <c r="AH33" i="7"/>
  <c r="AI33" i="7"/>
  <c r="AJ33" i="7"/>
  <c r="AK33" i="7"/>
  <c r="AM33" i="7"/>
  <c r="AN33" i="7"/>
  <c r="AG34" i="7"/>
  <c r="AK34" i="7"/>
  <c r="AE35" i="7"/>
  <c r="AG35" i="7"/>
  <c r="AH35" i="7"/>
  <c r="AI35" i="7"/>
  <c r="AJ35" i="7"/>
  <c r="AK35" i="7"/>
  <c r="AM35" i="7"/>
  <c r="AN35" i="7"/>
  <c r="AK36" i="7"/>
  <c r="AF37" i="7"/>
  <c r="AG37" i="7"/>
  <c r="AI37" i="7"/>
  <c r="AJ37" i="7"/>
  <c r="AK37" i="7"/>
  <c r="AM37" i="7"/>
  <c r="AN37" i="7"/>
  <c r="AE39" i="7"/>
  <c r="AF39" i="7"/>
  <c r="AG39" i="7"/>
  <c r="AI39" i="7"/>
  <c r="AJ39" i="7"/>
  <c r="AK39" i="7"/>
  <c r="AN39" i="7"/>
  <c r="AE40" i="7"/>
  <c r="AI40" i="7"/>
  <c r="AE41" i="7"/>
  <c r="AF41" i="7"/>
  <c r="AG41" i="7"/>
  <c r="AH41" i="7"/>
  <c r="AI41" i="7"/>
  <c r="AJ41" i="7"/>
  <c r="AK41" i="7"/>
  <c r="AM41" i="7"/>
  <c r="AN41" i="7"/>
  <c r="AF42" i="7"/>
  <c r="AJ42" i="7"/>
  <c r="AE43" i="7"/>
  <c r="AF43" i="7"/>
  <c r="AG43" i="7"/>
  <c r="AH43" i="7"/>
  <c r="AI43" i="7"/>
  <c r="AJ43" i="7"/>
  <c r="AK43" i="7"/>
  <c r="AM43" i="7"/>
  <c r="AN43" i="7"/>
  <c r="AE44" i="7"/>
  <c r="AI44" i="7"/>
  <c r="AN44" i="7"/>
  <c r="AE45" i="7"/>
  <c r="AI45" i="7"/>
  <c r="AN45" i="7"/>
  <c r="AF46" i="7"/>
  <c r="AJ46" i="7"/>
  <c r="AE47" i="7"/>
  <c r="AF47" i="7"/>
  <c r="AI47" i="7"/>
  <c r="AJ47" i="7"/>
  <c r="AN47" i="7"/>
  <c r="AE48" i="7"/>
  <c r="AE49" i="7"/>
  <c r="AF49" i="7"/>
  <c r="AG49" i="7"/>
  <c r="AH49" i="7"/>
  <c r="AL49" i="7" s="1"/>
  <c r="AI49" i="7"/>
  <c r="AJ49" i="7"/>
  <c r="AK49" i="7"/>
  <c r="AM49" i="7"/>
  <c r="AO49" i="7" s="1"/>
  <c r="AN49" i="7"/>
  <c r="AE50" i="7"/>
  <c r="AF50" i="7"/>
  <c r="AG50" i="7"/>
  <c r="AH50" i="7"/>
  <c r="AI50" i="7"/>
  <c r="AJ50" i="7"/>
  <c r="AK50" i="7"/>
  <c r="AM50" i="7"/>
  <c r="AN50" i="7"/>
  <c r="BH30" i="7"/>
  <c r="BH31" i="7"/>
  <c r="H28" i="7"/>
  <c r="AI42" i="7" l="1"/>
  <c r="AM42" i="7"/>
  <c r="AH42" i="7"/>
  <c r="AO43" i="7"/>
  <c r="AP43" i="7" s="1"/>
  <c r="AN42" i="7"/>
  <c r="AE42" i="7"/>
  <c r="AK42" i="7"/>
  <c r="AM60" i="7"/>
  <c r="AH60" i="7"/>
  <c r="AJ59" i="7"/>
  <c r="AL59" i="7" s="1"/>
  <c r="AP59" i="7" s="1"/>
  <c r="AF59" i="7"/>
  <c r="AM57" i="7"/>
  <c r="AG57" i="7"/>
  <c r="AL31" i="7"/>
  <c r="AK60" i="7"/>
  <c r="AG60" i="7"/>
  <c r="AE32" i="7"/>
  <c r="CD32" i="7"/>
  <c r="AJ60" i="7"/>
  <c r="AF60" i="7"/>
  <c r="AM59" i="7"/>
  <c r="AO59" i="7" s="1"/>
  <c r="AJ57" i="7"/>
  <c r="AI53" i="7"/>
  <c r="AO41" i="7"/>
  <c r="AL41" i="7"/>
  <c r="AN60" i="7"/>
  <c r="AI60" i="7"/>
  <c r="AN51" i="7"/>
  <c r="AJ51" i="7"/>
  <c r="AG51" i="7"/>
  <c r="AL35" i="7"/>
  <c r="AH61" i="7"/>
  <c r="AM61" i="7"/>
  <c r="AN58" i="7"/>
  <c r="AI58" i="7"/>
  <c r="AN57" i="7"/>
  <c r="AO57" i="7" s="1"/>
  <c r="AI57" i="7"/>
  <c r="AK55" i="7"/>
  <c r="AG55" i="7"/>
  <c r="AJ55" i="7"/>
  <c r="AL55" i="7" s="1"/>
  <c r="AP55" i="7" s="1"/>
  <c r="AN55" i="7"/>
  <c r="AI55" i="7"/>
  <c r="AE55" i="7"/>
  <c r="AF55" i="7"/>
  <c r="AM55" i="7"/>
  <c r="AO55" i="7" s="1"/>
  <c r="AN54" i="7"/>
  <c r="AI54" i="7"/>
  <c r="AL54" i="7" s="1"/>
  <c r="AE54" i="7"/>
  <c r="AM54" i="7"/>
  <c r="AM53" i="7"/>
  <c r="AO53" i="7" s="1"/>
  <c r="AH53" i="7"/>
  <c r="AG53" i="7"/>
  <c r="AJ53" i="7"/>
  <c r="AF53" i="7"/>
  <c r="AM51" i="7"/>
  <c r="AI51" i="7"/>
  <c r="AL51" i="7" s="1"/>
  <c r="AE51" i="7"/>
  <c r="AO50" i="7"/>
  <c r="AN48" i="7"/>
  <c r="AI48" i="7"/>
  <c r="AM47" i="7"/>
  <c r="AO47" i="7" s="1"/>
  <c r="AH47" i="7"/>
  <c r="AL47" i="7" s="1"/>
  <c r="AP47" i="7" s="1"/>
  <c r="AK47" i="7"/>
  <c r="AN46" i="7"/>
  <c r="AI46" i="7"/>
  <c r="AE46" i="7"/>
  <c r="AM46" i="7"/>
  <c r="AH46" i="7"/>
  <c r="AL46" i="7" s="1"/>
  <c r="AK46" i="7"/>
  <c r="AM39" i="7"/>
  <c r="AO39" i="7" s="1"/>
  <c r="AK38" i="7"/>
  <c r="AH38" i="7"/>
  <c r="AG38" i="7"/>
  <c r="AN38" i="7"/>
  <c r="AJ38" i="7"/>
  <c r="AF38" i="7"/>
  <c r="AM38" i="7"/>
  <c r="AI38" i="7"/>
  <c r="AE37" i="7"/>
  <c r="AG36" i="7"/>
  <c r="AH32" i="7"/>
  <c r="AO31" i="7"/>
  <c r="AL30" i="7"/>
  <c r="AP30" i="7" s="1"/>
  <c r="AO56" i="7"/>
  <c r="AK56" i="7"/>
  <c r="AJ34" i="7"/>
  <c r="AF34" i="7"/>
  <c r="AN34" i="7"/>
  <c r="AO34" i="7" s="1"/>
  <c r="AI34" i="7"/>
  <c r="AE34" i="7"/>
  <c r="AM34" i="7"/>
  <c r="AN62" i="7"/>
  <c r="AM62" i="7"/>
  <c r="AI62" i="7"/>
  <c r="AE62" i="7"/>
  <c r="AH62" i="7"/>
  <c r="AK62" i="7"/>
  <c r="AG62" i="7"/>
  <c r="AJ62" i="7"/>
  <c r="AK61" i="7"/>
  <c r="AG61" i="7"/>
  <c r="AJ61" i="7"/>
  <c r="AF61" i="7"/>
  <c r="AN61" i="7"/>
  <c r="AO61" i="7" s="1"/>
  <c r="AI61" i="7"/>
  <c r="AO58" i="7"/>
  <c r="AL58" i="7"/>
  <c r="AL56" i="7"/>
  <c r="AP56" i="7" s="1"/>
  <c r="AM45" i="7"/>
  <c r="AO45" i="7" s="1"/>
  <c r="AK45" i="7"/>
  <c r="AG45" i="7"/>
  <c r="AH45" i="7"/>
  <c r="AJ45" i="7"/>
  <c r="AN40" i="7"/>
  <c r="AP31" i="7"/>
  <c r="AP49" i="7"/>
  <c r="AM48" i="7"/>
  <c r="AO48" i="7" s="1"/>
  <c r="AH48" i="7"/>
  <c r="AM44" i="7"/>
  <c r="AO44" i="7" s="1"/>
  <c r="AH44" i="7"/>
  <c r="AM40" i="7"/>
  <c r="AH40" i="7"/>
  <c r="AO37" i="7"/>
  <c r="AP37" i="7" s="1"/>
  <c r="AL37" i="7"/>
  <c r="AN36" i="7"/>
  <c r="AJ36" i="7"/>
  <c r="AF36" i="7"/>
  <c r="AO33" i="7"/>
  <c r="AK32" i="7"/>
  <c r="AG32" i="7"/>
  <c r="AK48" i="7"/>
  <c r="AG48" i="7"/>
  <c r="AK44" i="7"/>
  <c r="AG44" i="7"/>
  <c r="AL43" i="7"/>
  <c r="AK40" i="7"/>
  <c r="AG40" i="7"/>
  <c r="AL39" i="7"/>
  <c r="AM36" i="7"/>
  <c r="AO36" i="7" s="1"/>
  <c r="AI36" i="7"/>
  <c r="AE36" i="7"/>
  <c r="AL33" i="7"/>
  <c r="AP33" i="7" s="1"/>
  <c r="AJ32" i="7"/>
  <c r="AF32" i="7"/>
  <c r="AL50" i="7"/>
  <c r="AP50" i="7" s="1"/>
  <c r="AJ48" i="7"/>
  <c r="AJ44" i="7"/>
  <c r="AL42" i="7"/>
  <c r="AJ40" i="7"/>
  <c r="AO35" i="7"/>
  <c r="AN32" i="7"/>
  <c r="AO32" i="7" s="1"/>
  <c r="AI32" i="7"/>
  <c r="J24" i="8"/>
  <c r="J24" i="7"/>
  <c r="W8" i="7" s="1"/>
  <c r="AO42" i="7" l="1"/>
  <c r="AP42" i="7" s="1"/>
  <c r="AP39" i="7"/>
  <c r="AP58" i="7"/>
  <c r="AP35" i="7"/>
  <c r="AL36" i="7"/>
  <c r="AL34" i="7"/>
  <c r="AL53" i="7"/>
  <c r="AP53" i="7" s="1"/>
  <c r="AL57" i="7"/>
  <c r="AP57" i="7" s="1"/>
  <c r="AP41" i="7"/>
  <c r="AL60" i="7"/>
  <c r="AP60" i="7" s="1"/>
  <c r="AO60" i="7"/>
  <c r="AO62" i="7"/>
  <c r="AO51" i="7"/>
  <c r="AP34" i="7"/>
  <c r="AL61" i="7"/>
  <c r="AP61" i="7" s="1"/>
  <c r="AO54" i="7"/>
  <c r="AP54" i="7" s="1"/>
  <c r="AP51" i="7"/>
  <c r="AO46" i="7"/>
  <c r="AP46" i="7" s="1"/>
  <c r="AL45" i="7"/>
  <c r="AP45" i="7" s="1"/>
  <c r="AO40" i="7"/>
  <c r="AL38" i="7"/>
  <c r="AO38" i="7"/>
  <c r="AP36" i="7"/>
  <c r="AL62" i="7"/>
  <c r="AP62" i="7" s="1"/>
  <c r="AL40" i="7"/>
  <c r="AL32" i="7"/>
  <c r="AP32" i="7" s="1"/>
  <c r="AL44" i="7"/>
  <c r="AP44" i="7" s="1"/>
  <c r="AL48" i="7"/>
  <c r="AP48" i="7" s="1"/>
  <c r="AE32" i="8"/>
  <c r="AE33" i="8"/>
  <c r="AE42" i="8"/>
  <c r="AE43" i="8"/>
  <c r="AE44" i="8"/>
  <c r="AE59" i="8"/>
  <c r="AE28" i="7"/>
  <c r="AE29" i="7"/>
  <c r="AP40" i="7" l="1"/>
  <c r="AP38" i="7"/>
  <c r="G61" i="8"/>
  <c r="H61" i="8" s="1"/>
  <c r="AE61" i="8" s="1"/>
  <c r="G58" i="8"/>
  <c r="H58" i="8" s="1"/>
  <c r="AE58" i="8" s="1"/>
  <c r="G56" i="8"/>
  <c r="H56" i="8" s="1"/>
  <c r="AE56" i="8" s="1"/>
  <c r="G54" i="8"/>
  <c r="H54" i="8" s="1"/>
  <c r="AE54" i="8" s="1"/>
  <c r="G53" i="8"/>
  <c r="H53" i="8" s="1"/>
  <c r="AE53" i="8" s="1"/>
  <c r="G52" i="8"/>
  <c r="H52" i="8" s="1"/>
  <c r="AE52" i="8" s="1"/>
  <c r="G51" i="8"/>
  <c r="H51" i="8" s="1"/>
  <c r="G50" i="8"/>
  <c r="H50" i="8" s="1"/>
  <c r="AE50" i="8" s="1"/>
  <c r="G49" i="8"/>
  <c r="H49" i="8" s="1"/>
  <c r="AE49" i="8" s="1"/>
  <c r="G48" i="8"/>
  <c r="H48" i="8" s="1"/>
  <c r="AE48" i="8" s="1"/>
  <c r="G47" i="8"/>
  <c r="H47" i="8" s="1"/>
  <c r="AE47" i="8" s="1"/>
  <c r="G46" i="8"/>
  <c r="H46" i="8" s="1"/>
  <c r="AE46" i="8" s="1"/>
  <c r="G38" i="8"/>
  <c r="H38" i="8" s="1"/>
  <c r="AE38" i="8" s="1"/>
  <c r="G41" i="8"/>
  <c r="H41" i="8" s="1"/>
  <c r="AE41" i="8" s="1"/>
  <c r="G40" i="8"/>
  <c r="H40" i="8" s="1"/>
  <c r="AE40" i="8" s="1"/>
  <c r="G39" i="8"/>
  <c r="H39" i="8" s="1"/>
  <c r="AE39" i="8" s="1"/>
  <c r="G36" i="8"/>
  <c r="H36" i="8" s="1"/>
  <c r="AE36" i="8" s="1"/>
  <c r="G35" i="8"/>
  <c r="H35" i="8" s="1"/>
  <c r="AE35" i="8" s="1"/>
  <c r="G31" i="8"/>
  <c r="H31" i="8" s="1"/>
  <c r="AE31" i="8" s="1"/>
  <c r="G30" i="8"/>
  <c r="H30" i="8" s="1"/>
  <c r="AE30" i="8" s="1"/>
  <c r="G29" i="8"/>
  <c r="H29" i="8" s="1"/>
  <c r="AE29" i="8" s="1"/>
  <c r="G28" i="8"/>
  <c r="H28" i="8" s="1"/>
  <c r="AE28" i="8" s="1"/>
  <c r="G27" i="8"/>
  <c r="H27" i="8" s="1"/>
  <c r="AE27" i="8" s="1"/>
  <c r="G26" i="8"/>
  <c r="H26" i="8" s="1"/>
  <c r="AE26" i="8" s="1"/>
  <c r="G25" i="8"/>
  <c r="BZ51" i="8" l="1"/>
  <c r="AE51" i="8"/>
  <c r="CF65" i="8"/>
  <c r="BR65" i="8"/>
  <c r="BP65" i="8"/>
  <c r="BN65" i="8"/>
  <c r="BL65" i="8"/>
  <c r="BJ65" i="8"/>
  <c r="BH65" i="8"/>
  <c r="BF65" i="8"/>
  <c r="BD65" i="8"/>
  <c r="BB65" i="8"/>
  <c r="AZ65" i="8"/>
  <c r="AX65" i="8"/>
  <c r="AV65" i="8"/>
  <c r="AT65" i="8"/>
  <c r="AR65" i="8"/>
  <c r="CJ65" i="8" s="1"/>
  <c r="AN65" i="8"/>
  <c r="AJ65" i="8"/>
  <c r="AF65" i="8"/>
  <c r="AD65" i="8"/>
  <c r="AC65" i="8"/>
  <c r="X65" i="8"/>
  <c r="W65" i="8"/>
  <c r="CD65" i="8"/>
  <c r="BX61" i="8"/>
  <c r="BV61" i="8"/>
  <c r="BT61" i="8"/>
  <c r="BR61" i="8"/>
  <c r="BP61" i="8"/>
  <c r="BN61" i="8"/>
  <c r="BL61" i="8"/>
  <c r="BJ61" i="8"/>
  <c r="BH61" i="8"/>
  <c r="BF61" i="8"/>
  <c r="BD61" i="8"/>
  <c r="BB61" i="8"/>
  <c r="AZ61" i="8"/>
  <c r="AX61" i="8"/>
  <c r="AV61" i="8"/>
  <c r="AT61" i="8"/>
  <c r="AR61" i="8"/>
  <c r="AN61" i="8"/>
  <c r="AJ61" i="8"/>
  <c r="AD61" i="8"/>
  <c r="AC61" i="8"/>
  <c r="X61" i="8"/>
  <c r="W61" i="8"/>
  <c r="AM61" i="8"/>
  <c r="BR60" i="8"/>
  <c r="BP60" i="8"/>
  <c r="BN60" i="8"/>
  <c r="BL60" i="8"/>
  <c r="BJ60" i="8"/>
  <c r="BH60" i="8"/>
  <c r="BD60" i="8"/>
  <c r="BB60" i="8"/>
  <c r="AZ60" i="8"/>
  <c r="AX60" i="8"/>
  <c r="AV60" i="8"/>
  <c r="AT60" i="8"/>
  <c r="AR60" i="8"/>
  <c r="AD60" i="8"/>
  <c r="AC60" i="8"/>
  <c r="X60" i="8"/>
  <c r="W60" i="8"/>
  <c r="BP59" i="8"/>
  <c r="BF59" i="8"/>
  <c r="AX59" i="8"/>
  <c r="AN59" i="8"/>
  <c r="AM59" i="8"/>
  <c r="AO59" i="8" s="1"/>
  <c r="AK59" i="8"/>
  <c r="AJ59" i="8"/>
  <c r="AI59" i="8"/>
  <c r="AH59" i="8"/>
  <c r="AG59" i="8"/>
  <c r="AF59" i="8"/>
  <c r="AD59" i="8"/>
  <c r="AC59" i="8"/>
  <c r="X59" i="8"/>
  <c r="W59" i="8"/>
  <c r="BR58" i="8"/>
  <c r="BP58" i="8"/>
  <c r="BN58" i="8"/>
  <c r="BL58" i="8"/>
  <c r="BJ58" i="8"/>
  <c r="BH58" i="8"/>
  <c r="BF58" i="8"/>
  <c r="BD58" i="8"/>
  <c r="BB58" i="8"/>
  <c r="AZ58" i="8"/>
  <c r="AX58" i="8"/>
  <c r="AV58" i="8"/>
  <c r="AT58" i="8"/>
  <c r="AR58" i="8"/>
  <c r="AD58" i="8"/>
  <c r="AC58" i="8"/>
  <c r="X58" i="8"/>
  <c r="W58" i="8"/>
  <c r="AM58" i="8"/>
  <c r="BP57" i="8"/>
  <c r="BF57" i="8"/>
  <c r="AX57" i="8"/>
  <c r="AD57" i="8"/>
  <c r="AC57" i="8"/>
  <c r="X57" i="8"/>
  <c r="W57" i="8"/>
  <c r="AE57" i="8"/>
  <c r="BR56" i="8"/>
  <c r="BP56" i="8"/>
  <c r="BN56" i="8"/>
  <c r="BL56" i="8"/>
  <c r="BJ56" i="8"/>
  <c r="BH56" i="8"/>
  <c r="BF56" i="8"/>
  <c r="BD56" i="8"/>
  <c r="BB56" i="8"/>
  <c r="AZ56" i="8"/>
  <c r="AX56" i="8"/>
  <c r="AV56" i="8"/>
  <c r="AT56" i="8"/>
  <c r="AR56" i="8"/>
  <c r="AM56" i="8"/>
  <c r="AD56" i="8"/>
  <c r="AC56" i="8"/>
  <c r="X56" i="8"/>
  <c r="W56" i="8"/>
  <c r="CE56" i="8" s="1"/>
  <c r="CD56" i="8"/>
  <c r="BX54" i="8"/>
  <c r="BV54" i="8"/>
  <c r="BT54" i="8"/>
  <c r="BR54" i="8"/>
  <c r="BP54" i="8"/>
  <c r="BN54" i="8"/>
  <c r="BL54" i="8"/>
  <c r="BJ54" i="8"/>
  <c r="BH54" i="8"/>
  <c r="BF54" i="8"/>
  <c r="BD54" i="8"/>
  <c r="BB54" i="8"/>
  <c r="AZ54" i="8"/>
  <c r="AX54" i="8"/>
  <c r="AV54" i="8"/>
  <c r="AT54" i="8"/>
  <c r="AR54" i="8"/>
  <c r="AD54" i="8"/>
  <c r="AC54" i="8"/>
  <c r="X54" i="8"/>
  <c r="W54" i="8"/>
  <c r="AM54" i="8"/>
  <c r="BR53" i="8"/>
  <c r="BP53" i="8"/>
  <c r="BN53" i="8"/>
  <c r="BL53" i="8"/>
  <c r="BJ53" i="8"/>
  <c r="BH53" i="8"/>
  <c r="BF53" i="8"/>
  <c r="BD53" i="8"/>
  <c r="BB53" i="8"/>
  <c r="AZ53" i="8"/>
  <c r="AX53" i="8"/>
  <c r="AV53" i="8"/>
  <c r="AT53" i="8"/>
  <c r="AR53" i="8"/>
  <c r="AD53" i="8"/>
  <c r="AC53" i="8"/>
  <c r="X53" i="8"/>
  <c r="W53" i="8"/>
  <c r="AG53" i="8"/>
  <c r="BX52" i="8"/>
  <c r="BV52" i="8"/>
  <c r="BT52" i="8"/>
  <c r="BR52" i="8"/>
  <c r="BP52" i="8"/>
  <c r="BN52" i="8"/>
  <c r="BL52" i="8"/>
  <c r="BJ52" i="8"/>
  <c r="BH52" i="8"/>
  <c r="BF52" i="8"/>
  <c r="BD52" i="8"/>
  <c r="BB52" i="8"/>
  <c r="AZ52" i="8"/>
  <c r="AX52" i="8"/>
  <c r="AV52" i="8"/>
  <c r="AT52" i="8"/>
  <c r="AR52" i="8"/>
  <c r="AD52" i="8"/>
  <c r="AC52" i="8"/>
  <c r="X52" i="8"/>
  <c r="W52" i="8"/>
  <c r="BX51" i="8"/>
  <c r="BV51" i="8"/>
  <c r="BT51" i="8"/>
  <c r="BR51" i="8"/>
  <c r="BP51" i="8"/>
  <c r="BN51" i="8"/>
  <c r="BL51" i="8"/>
  <c r="BJ51" i="8"/>
  <c r="BH51" i="8"/>
  <c r="BF51" i="8"/>
  <c r="BD51" i="8"/>
  <c r="BB51" i="8"/>
  <c r="AZ51" i="8"/>
  <c r="AX51" i="8"/>
  <c r="AV51" i="8"/>
  <c r="AT51" i="8"/>
  <c r="AR51" i="8"/>
  <c r="AK51" i="8"/>
  <c r="AD51" i="8"/>
  <c r="AC51" i="8"/>
  <c r="X51" i="8"/>
  <c r="W51" i="8"/>
  <c r="BR50" i="8"/>
  <c r="BP50" i="8"/>
  <c r="BN50" i="8"/>
  <c r="BL50" i="8"/>
  <c r="BJ50" i="8"/>
  <c r="BH50" i="8"/>
  <c r="BF50" i="8"/>
  <c r="BD50" i="8"/>
  <c r="BB50" i="8"/>
  <c r="AZ50" i="8"/>
  <c r="AX50" i="8"/>
  <c r="AV50" i="8"/>
  <c r="AT50" i="8"/>
  <c r="AR50" i="8"/>
  <c r="AD50" i="8"/>
  <c r="AC50" i="8"/>
  <c r="X50" i="8"/>
  <c r="W50" i="8"/>
  <c r="CB50" i="8"/>
  <c r="BX49" i="8"/>
  <c r="BV49" i="8"/>
  <c r="BT49" i="8"/>
  <c r="BR49" i="8"/>
  <c r="BP49" i="8"/>
  <c r="BN49" i="8"/>
  <c r="BL49" i="8"/>
  <c r="BJ49" i="8"/>
  <c r="BH49" i="8"/>
  <c r="BF49" i="8"/>
  <c r="BD49" i="8"/>
  <c r="BB49" i="8"/>
  <c r="AZ49" i="8"/>
  <c r="AX49" i="8"/>
  <c r="AV49" i="8"/>
  <c r="AT49" i="8"/>
  <c r="AR49" i="8"/>
  <c r="AD49" i="8"/>
  <c r="AC49" i="8"/>
  <c r="X49" i="8"/>
  <c r="W49" i="8"/>
  <c r="BR48" i="8"/>
  <c r="BP48" i="8"/>
  <c r="BN48" i="8"/>
  <c r="BL48" i="8"/>
  <c r="BJ48" i="8"/>
  <c r="BH48" i="8"/>
  <c r="BF48" i="8"/>
  <c r="BD48" i="8"/>
  <c r="BB48" i="8"/>
  <c r="AZ48" i="8"/>
  <c r="AX48" i="8"/>
  <c r="AV48" i="8"/>
  <c r="AT48" i="8"/>
  <c r="AR48" i="8"/>
  <c r="AI48" i="8"/>
  <c r="AD48" i="8"/>
  <c r="AC48" i="8"/>
  <c r="X48" i="8"/>
  <c r="W48" i="8"/>
  <c r="AG48" i="8"/>
  <c r="BX47" i="8"/>
  <c r="BV47" i="8"/>
  <c r="BT47" i="8"/>
  <c r="BR47" i="8"/>
  <c r="BP47" i="8"/>
  <c r="BN47" i="8"/>
  <c r="BL47" i="8"/>
  <c r="BJ47" i="8"/>
  <c r="BH47" i="8"/>
  <c r="BF47" i="8"/>
  <c r="BD47" i="8"/>
  <c r="BB47" i="8"/>
  <c r="AZ47" i="8"/>
  <c r="AX47" i="8"/>
  <c r="AV47" i="8"/>
  <c r="AT47" i="8"/>
  <c r="AR47" i="8"/>
  <c r="AI47" i="8"/>
  <c r="AD47" i="8"/>
  <c r="AC47" i="8"/>
  <c r="X47" i="8"/>
  <c r="W47" i="8"/>
  <c r="AG47" i="8"/>
  <c r="CC46" i="8"/>
  <c r="CB46" i="8"/>
  <c r="BX46" i="8"/>
  <c r="BV46" i="8"/>
  <c r="BT46" i="8"/>
  <c r="BR46" i="8"/>
  <c r="BP46" i="8"/>
  <c r="BN46" i="8"/>
  <c r="BL46" i="8"/>
  <c r="BJ46" i="8"/>
  <c r="BH46" i="8"/>
  <c r="BF46" i="8"/>
  <c r="BD46" i="8"/>
  <c r="BB46" i="8"/>
  <c r="AZ46" i="8"/>
  <c r="AX46" i="8"/>
  <c r="AV46" i="8"/>
  <c r="AT46" i="8"/>
  <c r="AR46" i="8"/>
  <c r="AG46" i="8"/>
  <c r="AF46" i="8"/>
  <c r="AD46" i="8"/>
  <c r="AC46" i="8"/>
  <c r="X46" i="8"/>
  <c r="W46" i="8"/>
  <c r="AJ46" i="8"/>
  <c r="BX45" i="8"/>
  <c r="BV45" i="8"/>
  <c r="BT45" i="8"/>
  <c r="BR45" i="8"/>
  <c r="BP45" i="8"/>
  <c r="BN45" i="8"/>
  <c r="BL45" i="8"/>
  <c r="BJ45" i="8"/>
  <c r="BH45" i="8"/>
  <c r="BF45" i="8"/>
  <c r="BD45" i="8"/>
  <c r="BB45" i="8"/>
  <c r="AZ45" i="8"/>
  <c r="AX45" i="8"/>
  <c r="AV45" i="8"/>
  <c r="AT45" i="8"/>
  <c r="AR45" i="8"/>
  <c r="AD45" i="8"/>
  <c r="AC45" i="8"/>
  <c r="X45" i="8"/>
  <c r="W45" i="8"/>
  <c r="CD44" i="8"/>
  <c r="CB44" i="8"/>
  <c r="BZ44" i="8"/>
  <c r="BR44" i="8"/>
  <c r="BP44" i="8"/>
  <c r="BN44" i="8"/>
  <c r="BL44" i="8"/>
  <c r="BJ44" i="8"/>
  <c r="BH44" i="8"/>
  <c r="BF44" i="8"/>
  <c r="BD44" i="8"/>
  <c r="BB44" i="8"/>
  <c r="AZ44" i="8"/>
  <c r="AX44" i="8"/>
  <c r="AV44" i="8"/>
  <c r="AT44" i="8"/>
  <c r="AR44" i="8"/>
  <c r="AN44" i="8"/>
  <c r="AM44" i="8"/>
  <c r="AO44" i="8" s="1"/>
  <c r="AK44" i="8"/>
  <c r="AJ44" i="8"/>
  <c r="AI44" i="8"/>
  <c r="AH44" i="8"/>
  <c r="AG44" i="8"/>
  <c r="AF44" i="8"/>
  <c r="AD44" i="8"/>
  <c r="AC44" i="8"/>
  <c r="X44" i="8"/>
  <c r="W44" i="8"/>
  <c r="CD43" i="8"/>
  <c r="CB43" i="8"/>
  <c r="BZ43" i="8"/>
  <c r="BR43" i="8"/>
  <c r="BP43" i="8"/>
  <c r="BN43" i="8"/>
  <c r="BL43" i="8"/>
  <c r="BJ43" i="8"/>
  <c r="BH43" i="8"/>
  <c r="BF43" i="8"/>
  <c r="BD43" i="8"/>
  <c r="BB43" i="8"/>
  <c r="AZ43" i="8"/>
  <c r="AX43" i="8"/>
  <c r="AV43" i="8"/>
  <c r="AT43" i="8"/>
  <c r="AR43" i="8"/>
  <c r="AN43" i="8"/>
  <c r="AM43" i="8"/>
  <c r="AK43" i="8"/>
  <c r="AJ43" i="8"/>
  <c r="AI43" i="8"/>
  <c r="AH43" i="8"/>
  <c r="AG43" i="8"/>
  <c r="AF43" i="8"/>
  <c r="AD43" i="8"/>
  <c r="AC43" i="8"/>
  <c r="X43" i="8"/>
  <c r="W43" i="8"/>
  <c r="CD42" i="8"/>
  <c r="CB42" i="8"/>
  <c r="BZ42" i="8"/>
  <c r="BR42" i="8"/>
  <c r="BP42" i="8"/>
  <c r="BN42" i="8"/>
  <c r="BL42" i="8"/>
  <c r="BJ42" i="8"/>
  <c r="BH42" i="8"/>
  <c r="BF42" i="8"/>
  <c r="BD42" i="8"/>
  <c r="BB42" i="8"/>
  <c r="AZ42" i="8"/>
  <c r="AX42" i="8"/>
  <c r="AV42" i="8"/>
  <c r="AT42" i="8"/>
  <c r="AR42" i="8"/>
  <c r="AN42" i="8"/>
  <c r="AM42" i="8"/>
  <c r="AO42" i="8" s="1"/>
  <c r="AK42" i="8"/>
  <c r="AJ42" i="8"/>
  <c r="AI42" i="8"/>
  <c r="AH42" i="8"/>
  <c r="AL42" i="8" s="1"/>
  <c r="AG42" i="8"/>
  <c r="AF42" i="8"/>
  <c r="AD42" i="8"/>
  <c r="AC42" i="8"/>
  <c r="X42" i="8"/>
  <c r="W42" i="8"/>
  <c r="BX41" i="8"/>
  <c r="BV41" i="8"/>
  <c r="BT41" i="8"/>
  <c r="BR41" i="8"/>
  <c r="BP41" i="8"/>
  <c r="BN41" i="8"/>
  <c r="BL41" i="8"/>
  <c r="BJ41" i="8"/>
  <c r="BH41" i="8"/>
  <c r="BF41" i="8"/>
  <c r="BD41" i="8"/>
  <c r="BB41" i="8"/>
  <c r="AZ41" i="8"/>
  <c r="AX41" i="8"/>
  <c r="AV41" i="8"/>
  <c r="AT41" i="8"/>
  <c r="AR41" i="8"/>
  <c r="AD41" i="8"/>
  <c r="AC41" i="8"/>
  <c r="X41" i="8"/>
  <c r="W41" i="8"/>
  <c r="BX40" i="8"/>
  <c r="BV40" i="8"/>
  <c r="BT40" i="8"/>
  <c r="BR40" i="8"/>
  <c r="BP40" i="8"/>
  <c r="BN40" i="8"/>
  <c r="BL40" i="8"/>
  <c r="BJ40" i="8"/>
  <c r="BH40" i="8"/>
  <c r="BF40" i="8"/>
  <c r="BD40" i="8"/>
  <c r="BB40" i="8"/>
  <c r="AZ40" i="8"/>
  <c r="AX40" i="8"/>
  <c r="AV40" i="8"/>
  <c r="AT40" i="8"/>
  <c r="AR40" i="8"/>
  <c r="AD40" i="8"/>
  <c r="AC40" i="8"/>
  <c r="X40" i="8"/>
  <c r="W40" i="8"/>
  <c r="BX39" i="8"/>
  <c r="BV39" i="8"/>
  <c r="BT39" i="8"/>
  <c r="BR39" i="8"/>
  <c r="BP39" i="8"/>
  <c r="BN39" i="8"/>
  <c r="BL39" i="8"/>
  <c r="BJ39" i="8"/>
  <c r="BH39" i="8"/>
  <c r="BF39" i="8"/>
  <c r="BD39" i="8"/>
  <c r="BB39" i="8"/>
  <c r="AZ39" i="8"/>
  <c r="AX39" i="8"/>
  <c r="AV39" i="8"/>
  <c r="AT39" i="8"/>
  <c r="AR39" i="8"/>
  <c r="AD39" i="8"/>
  <c r="AC39" i="8"/>
  <c r="X39" i="8"/>
  <c r="W39" i="8"/>
  <c r="AH39" i="8"/>
  <c r="BX38" i="8"/>
  <c r="BV38" i="8"/>
  <c r="BT38" i="8"/>
  <c r="BR38" i="8"/>
  <c r="BP38" i="8"/>
  <c r="BN38" i="8"/>
  <c r="BL38" i="8"/>
  <c r="BJ38" i="8"/>
  <c r="BH38" i="8"/>
  <c r="BF38" i="8"/>
  <c r="BD38" i="8"/>
  <c r="BB38" i="8"/>
  <c r="AZ38" i="8"/>
  <c r="AX38" i="8"/>
  <c r="AV38" i="8"/>
  <c r="AT38" i="8"/>
  <c r="AR38" i="8"/>
  <c r="AH38" i="8"/>
  <c r="AG38" i="8"/>
  <c r="AD38" i="8"/>
  <c r="AC38" i="8"/>
  <c r="X38" i="8"/>
  <c r="W38" i="8"/>
  <c r="AK38" i="8"/>
  <c r="BX37" i="8"/>
  <c r="BV37" i="8"/>
  <c r="BT37" i="8"/>
  <c r="BR37" i="8"/>
  <c r="BP37" i="8"/>
  <c r="BN37" i="8"/>
  <c r="BL37" i="8"/>
  <c r="BJ37" i="8"/>
  <c r="BH37" i="8"/>
  <c r="BF37" i="8"/>
  <c r="BD37" i="8"/>
  <c r="BB37" i="8"/>
  <c r="AZ37" i="8"/>
  <c r="AX37" i="8"/>
  <c r="AV37" i="8"/>
  <c r="AT37" i="8"/>
  <c r="AR37" i="8"/>
  <c r="AD37" i="8"/>
  <c r="AC37" i="8"/>
  <c r="X37" i="8"/>
  <c r="W37" i="8"/>
  <c r="G37" i="8"/>
  <c r="H37" i="8" s="1"/>
  <c r="AE37" i="8" s="1"/>
  <c r="BX36" i="8"/>
  <c r="BV36" i="8"/>
  <c r="BT36" i="8"/>
  <c r="BR36" i="8"/>
  <c r="BP36" i="8"/>
  <c r="BN36" i="8"/>
  <c r="BL36" i="8"/>
  <c r="BJ36" i="8"/>
  <c r="BH36" i="8"/>
  <c r="BF36" i="8"/>
  <c r="BD36" i="8"/>
  <c r="BB36" i="8"/>
  <c r="AZ36" i="8"/>
  <c r="AX36" i="8"/>
  <c r="AV36" i="8"/>
  <c r="AT36" i="8"/>
  <c r="AR36" i="8"/>
  <c r="AD36" i="8"/>
  <c r="AC36" i="8"/>
  <c r="X36" i="8"/>
  <c r="W36" i="8"/>
  <c r="CD35" i="8"/>
  <c r="CB35" i="8"/>
  <c r="BR35" i="8"/>
  <c r="BP35" i="8"/>
  <c r="BN35" i="8"/>
  <c r="BL35" i="8"/>
  <c r="BJ35" i="8"/>
  <c r="BH35" i="8"/>
  <c r="BF35" i="8"/>
  <c r="BD35" i="8"/>
  <c r="BB35" i="8"/>
  <c r="AZ35" i="8"/>
  <c r="AX35" i="8"/>
  <c r="AV35" i="8"/>
  <c r="AT35" i="8"/>
  <c r="AR35" i="8"/>
  <c r="AM35" i="8"/>
  <c r="AH35" i="8"/>
  <c r="AD35" i="8"/>
  <c r="AC35" i="8"/>
  <c r="X35" i="8"/>
  <c r="W35" i="8"/>
  <c r="AI35" i="8"/>
  <c r="CD33" i="8"/>
  <c r="CB33" i="8"/>
  <c r="BZ33" i="8"/>
  <c r="BR33" i="8"/>
  <c r="BP33" i="8"/>
  <c r="BN33" i="8"/>
  <c r="BL33" i="8"/>
  <c r="BJ33" i="8"/>
  <c r="BH33" i="8"/>
  <c r="BF33" i="8"/>
  <c r="BD33" i="8"/>
  <c r="BB33" i="8"/>
  <c r="AZ33" i="8"/>
  <c r="AX33" i="8"/>
  <c r="AV33" i="8"/>
  <c r="AT33" i="8"/>
  <c r="AR33" i="8"/>
  <c r="AN33" i="8"/>
  <c r="AM33" i="8"/>
  <c r="AK33" i="8"/>
  <c r="AJ33" i="8"/>
  <c r="AI33" i="8"/>
  <c r="AH33" i="8"/>
  <c r="AG33" i="8"/>
  <c r="AF33" i="8"/>
  <c r="AD33" i="8"/>
  <c r="AC33" i="8"/>
  <c r="X33" i="8"/>
  <c r="W33" i="8"/>
  <c r="BR32" i="8"/>
  <c r="BP32" i="8"/>
  <c r="BN32" i="8"/>
  <c r="BL32" i="8"/>
  <c r="BJ32" i="8"/>
  <c r="BH32" i="8"/>
  <c r="BF32" i="8"/>
  <c r="BD32" i="8"/>
  <c r="BB32" i="8"/>
  <c r="AZ32" i="8"/>
  <c r="AX32" i="8"/>
  <c r="AV32" i="8"/>
  <c r="AT32" i="8"/>
  <c r="AR32" i="8"/>
  <c r="AD32" i="8"/>
  <c r="AC32" i="8"/>
  <c r="X32" i="8"/>
  <c r="W32" i="8"/>
  <c r="CB31" i="8"/>
  <c r="BX31" i="8"/>
  <c r="BV31" i="8"/>
  <c r="BT31" i="8"/>
  <c r="BR31" i="8"/>
  <c r="BP31" i="8"/>
  <c r="BN31" i="8"/>
  <c r="BL31" i="8"/>
  <c r="BJ31" i="8"/>
  <c r="BH31" i="8"/>
  <c r="BF31" i="8"/>
  <c r="BD31" i="8"/>
  <c r="BB31" i="8"/>
  <c r="AZ31" i="8"/>
  <c r="AX31" i="8"/>
  <c r="AV31" i="8"/>
  <c r="AT31" i="8"/>
  <c r="AR31" i="8"/>
  <c r="AK31" i="8"/>
  <c r="AG31" i="8"/>
  <c r="AD31" i="8"/>
  <c r="AC31" i="8"/>
  <c r="X31" i="8"/>
  <c r="W31" i="8"/>
  <c r="BZ31" i="8"/>
  <c r="CD30" i="8"/>
  <c r="CB30" i="8"/>
  <c r="BX30" i="8"/>
  <c r="BV30" i="8"/>
  <c r="BT30" i="8"/>
  <c r="BR30" i="8"/>
  <c r="BP30" i="8"/>
  <c r="BN30" i="8"/>
  <c r="BL30" i="8"/>
  <c r="BJ30" i="8"/>
  <c r="BF30" i="8"/>
  <c r="BD30" i="8"/>
  <c r="BB30" i="8"/>
  <c r="AX30" i="8"/>
  <c r="AV30" i="8"/>
  <c r="AT30" i="8"/>
  <c r="AR30" i="8"/>
  <c r="AN30" i="8"/>
  <c r="AI30" i="8"/>
  <c r="AF30" i="8"/>
  <c r="AD30" i="8"/>
  <c r="AC30" i="8"/>
  <c r="X30" i="8"/>
  <c r="W30" i="8"/>
  <c r="CE30" i="8" s="1"/>
  <c r="AM30" i="8"/>
  <c r="BR29" i="8"/>
  <c r="BP29" i="8"/>
  <c r="BN29" i="8"/>
  <c r="BL29" i="8"/>
  <c r="BJ29" i="8"/>
  <c r="BH29" i="8"/>
  <c r="BF29" i="8"/>
  <c r="BD29" i="8"/>
  <c r="BB29" i="8"/>
  <c r="AZ29" i="8"/>
  <c r="AX29" i="8"/>
  <c r="AV29" i="8"/>
  <c r="AT29" i="8"/>
  <c r="AR29" i="8"/>
  <c r="AD29" i="8"/>
  <c r="AC29" i="8"/>
  <c r="X29" i="8"/>
  <c r="W29" i="8"/>
  <c r="BF28" i="8"/>
  <c r="AD28" i="8"/>
  <c r="AC28" i="8"/>
  <c r="X28" i="8"/>
  <c r="W28" i="8"/>
  <c r="CE28" i="8" s="1"/>
  <c r="BX27" i="8"/>
  <c r="BV27" i="8"/>
  <c r="BT27" i="8"/>
  <c r="BR27" i="8"/>
  <c r="BP27" i="8"/>
  <c r="BN27" i="8"/>
  <c r="BL27" i="8"/>
  <c r="BJ27" i="8"/>
  <c r="BH27" i="8"/>
  <c r="BF27" i="8"/>
  <c r="BD27" i="8"/>
  <c r="BB27" i="8"/>
  <c r="AZ27" i="8"/>
  <c r="AX27" i="8"/>
  <c r="AV27" i="8"/>
  <c r="AT27" i="8"/>
  <c r="AR27" i="8"/>
  <c r="AD27" i="8"/>
  <c r="AC27" i="8"/>
  <c r="X27" i="8"/>
  <c r="W27" i="8"/>
  <c r="CB27" i="8"/>
  <c r="BX26" i="8"/>
  <c r="BV26" i="8"/>
  <c r="BT26" i="8"/>
  <c r="BR26" i="8"/>
  <c r="BP26" i="8"/>
  <c r="BN26" i="8"/>
  <c r="BL26" i="8"/>
  <c r="BJ26" i="8"/>
  <c r="BH26" i="8"/>
  <c r="BF26" i="8"/>
  <c r="BD26" i="8"/>
  <c r="BB26" i="8"/>
  <c r="AZ26" i="8"/>
  <c r="AX26" i="8"/>
  <c r="AV26" i="8"/>
  <c r="AT26" i="8"/>
  <c r="AR26" i="8"/>
  <c r="AD26" i="8"/>
  <c r="AC26" i="8"/>
  <c r="X26" i="8"/>
  <c r="W26" i="8"/>
  <c r="AH26" i="8"/>
  <c r="BX25" i="8"/>
  <c r="BV25" i="8"/>
  <c r="BT25" i="8"/>
  <c r="BT24" i="8" s="1"/>
  <c r="BR25" i="8"/>
  <c r="BP25" i="8"/>
  <c r="BN25" i="8"/>
  <c r="BL25" i="8"/>
  <c r="BJ25" i="8"/>
  <c r="BH25" i="8"/>
  <c r="BF25" i="8"/>
  <c r="BD25" i="8"/>
  <c r="BD24" i="8" s="1"/>
  <c r="BB25" i="8"/>
  <c r="AZ25" i="8"/>
  <c r="AZ24" i="8" s="1"/>
  <c r="AX25" i="8"/>
  <c r="AV25" i="8"/>
  <c r="AT25" i="8"/>
  <c r="AR25" i="8"/>
  <c r="AD25" i="8"/>
  <c r="AC25" i="8"/>
  <c r="X25" i="8"/>
  <c r="W25" i="8"/>
  <c r="W24" i="8" s="1"/>
  <c r="H25" i="8"/>
  <c r="CI24" i="8"/>
  <c r="CG24" i="8"/>
  <c r="CA24" i="8"/>
  <c r="BY24" i="8"/>
  <c r="BX24" i="8"/>
  <c r="BW24" i="8"/>
  <c r="BU24" i="8"/>
  <c r="BS24" i="8"/>
  <c r="BR24" i="8"/>
  <c r="BQ24" i="8"/>
  <c r="BP24" i="8"/>
  <c r="BO24" i="8"/>
  <c r="BM24" i="8"/>
  <c r="BL24" i="8"/>
  <c r="BK24" i="8"/>
  <c r="BJ24" i="8"/>
  <c r="BI24" i="8"/>
  <c r="BH24" i="8"/>
  <c r="BG24" i="8"/>
  <c r="BE24" i="8"/>
  <c r="BC24" i="8"/>
  <c r="BB24" i="8"/>
  <c r="BA24" i="8"/>
  <c r="AY24" i="8"/>
  <c r="AW24" i="8"/>
  <c r="AV24" i="8"/>
  <c r="AU24" i="8"/>
  <c r="AT24" i="8"/>
  <c r="AS24" i="8"/>
  <c r="AR24" i="8"/>
  <c r="AQ24" i="8"/>
  <c r="AB24" i="8"/>
  <c r="AA24" i="8"/>
  <c r="Z24" i="8"/>
  <c r="Y24" i="8"/>
  <c r="X24" i="8"/>
  <c r="V24" i="8"/>
  <c r="U24" i="8"/>
  <c r="T24" i="8"/>
  <c r="S24" i="8"/>
  <c r="R24" i="8"/>
  <c r="Q24" i="8"/>
  <c r="P24" i="8"/>
  <c r="O24" i="8"/>
  <c r="N24" i="8"/>
  <c r="M24" i="8"/>
  <c r="L24" i="8"/>
  <c r="K24" i="8"/>
  <c r="I24" i="8"/>
  <c r="W18" i="8"/>
  <c r="W16" i="8"/>
  <c r="W15" i="8"/>
  <c r="W14" i="8"/>
  <c r="W13" i="8"/>
  <c r="W12" i="8"/>
  <c r="W11" i="8"/>
  <c r="W10" i="8"/>
  <c r="W9" i="8"/>
  <c r="W8" i="8"/>
  <c r="W6" i="8"/>
  <c r="W5" i="8"/>
  <c r="W4" i="8"/>
  <c r="W3" i="8"/>
  <c r="W2" i="8"/>
  <c r="AO43" i="8" l="1"/>
  <c r="CE42" i="8"/>
  <c r="CF42" i="8" s="1"/>
  <c r="CE50" i="8"/>
  <c r="AH25" i="8"/>
  <c r="AE25" i="8"/>
  <c r="AX24" i="8"/>
  <c r="BF24" i="8"/>
  <c r="BN24" i="8"/>
  <c r="BV24" i="8"/>
  <c r="CC28" i="8"/>
  <c r="CC29" i="8"/>
  <c r="CE32" i="8"/>
  <c r="CE35" i="8"/>
  <c r="CE43" i="8"/>
  <c r="CF43" i="8" s="1"/>
  <c r="CE46" i="8"/>
  <c r="CE53" i="8"/>
  <c r="CE57" i="8"/>
  <c r="CE59" i="8"/>
  <c r="CF59" i="8" s="1"/>
  <c r="CE58" i="8"/>
  <c r="CD25" i="8"/>
  <c r="CE29" i="8"/>
  <c r="AO30" i="8"/>
  <c r="CE33" i="8"/>
  <c r="CF33" i="8" s="1"/>
  <c r="CE38" i="8"/>
  <c r="CE47" i="8"/>
  <c r="CE61" i="8"/>
  <c r="CF61" i="8" s="1"/>
  <c r="AD24" i="8"/>
  <c r="CE26" i="8"/>
  <c r="CC26" i="8"/>
  <c r="AL59" i="8"/>
  <c r="AL44" i="8"/>
  <c r="AP44" i="8" s="1"/>
  <c r="AJ45" i="8"/>
  <c r="AE45" i="8"/>
  <c r="AK60" i="8"/>
  <c r="AE60" i="8"/>
  <c r="AO61" i="8"/>
  <c r="AF61" i="8"/>
  <c r="BZ61" i="8"/>
  <c r="BZ60" i="8"/>
  <c r="AI56" i="8"/>
  <c r="BZ54" i="8"/>
  <c r="AJ54" i="8"/>
  <c r="AF54" i="8"/>
  <c r="AN54" i="8"/>
  <c r="AO54" i="8" s="1"/>
  <c r="AN46" i="8"/>
  <c r="AN45" i="8"/>
  <c r="AF45" i="8"/>
  <c r="AG45" i="8"/>
  <c r="CB45" i="8"/>
  <c r="CD38" i="8"/>
  <c r="AJ30" i="8"/>
  <c r="CC27" i="8"/>
  <c r="AC24" i="8"/>
  <c r="CF28" i="8"/>
  <c r="AM28" i="8"/>
  <c r="AI28" i="8"/>
  <c r="CD28" i="8"/>
  <c r="AK28" i="8"/>
  <c r="AG28" i="8"/>
  <c r="AN28" i="8"/>
  <c r="AF28" i="8"/>
  <c r="AH28" i="8"/>
  <c r="AJ28" i="8"/>
  <c r="BZ37" i="8"/>
  <c r="AN37" i="8"/>
  <c r="AJ37" i="8"/>
  <c r="AF37" i="8"/>
  <c r="AM37" i="8"/>
  <c r="AI37" i="8"/>
  <c r="CD37" i="8"/>
  <c r="AG37" i="8"/>
  <c r="AH37" i="8"/>
  <c r="CB37" i="8"/>
  <c r="AK37" i="8"/>
  <c r="BZ41" i="8"/>
  <c r="AN41" i="8"/>
  <c r="AJ41" i="8"/>
  <c r="AF41" i="8"/>
  <c r="AM41" i="8"/>
  <c r="AI41" i="8"/>
  <c r="CD41" i="8"/>
  <c r="AG41" i="8"/>
  <c r="AK41" i="8"/>
  <c r="CB41" i="8"/>
  <c r="AH41" i="8"/>
  <c r="CB25" i="8"/>
  <c r="AK25" i="8"/>
  <c r="AG25" i="8"/>
  <c r="BZ25" i="8"/>
  <c r="AN25" i="8"/>
  <c r="AJ25" i="8"/>
  <c r="AF25" i="8"/>
  <c r="AM25" i="8"/>
  <c r="AI25" i="8"/>
  <c r="CF26" i="8"/>
  <c r="CB26" i="8"/>
  <c r="AK26" i="8"/>
  <c r="AG26" i="8"/>
  <c r="BZ26" i="8"/>
  <c r="AN26" i="8"/>
  <c r="AJ26" i="8"/>
  <c r="AF26" i="8"/>
  <c r="CD26" i="8"/>
  <c r="AM26" i="8"/>
  <c r="AO26" i="8" s="1"/>
  <c r="AI26" i="8"/>
  <c r="CE27" i="8"/>
  <c r="AG27" i="8"/>
  <c r="CD29" i="8"/>
  <c r="AN29" i="8"/>
  <c r="AJ29" i="8"/>
  <c r="AF29" i="8"/>
  <c r="CF29" i="8"/>
  <c r="AH29" i="8"/>
  <c r="BZ29" i="8"/>
  <c r="AK29" i="8"/>
  <c r="AM29" i="8"/>
  <c r="AI29" i="8"/>
  <c r="CB29" i="8"/>
  <c r="AG29" i="8"/>
  <c r="CF30" i="8"/>
  <c r="BZ36" i="8"/>
  <c r="AN36" i="8"/>
  <c r="AJ36" i="8"/>
  <c r="AF36" i="8"/>
  <c r="AM36" i="8"/>
  <c r="AI36" i="8"/>
  <c r="AH36" i="8"/>
  <c r="CB36" i="8"/>
  <c r="CD36" i="8"/>
  <c r="AG36" i="8"/>
  <c r="AK36" i="8"/>
  <c r="BZ27" i="8"/>
  <c r="AN27" i="8"/>
  <c r="AJ27" i="8"/>
  <c r="AF27" i="8"/>
  <c r="AH27" i="8"/>
  <c r="CD27" i="8"/>
  <c r="AM27" i="8"/>
  <c r="AI27" i="8"/>
  <c r="CC24" i="8"/>
  <c r="AK27" i="8"/>
  <c r="CF27" i="8"/>
  <c r="BZ40" i="8"/>
  <c r="AN40" i="8"/>
  <c r="AJ40" i="8"/>
  <c r="AF40" i="8"/>
  <c r="AM40" i="8"/>
  <c r="AI40" i="8"/>
  <c r="AH40" i="8"/>
  <c r="CB40" i="8"/>
  <c r="AK40" i="8"/>
  <c r="CD40" i="8"/>
  <c r="AG40" i="8"/>
  <c r="CH44" i="8"/>
  <c r="CJ44" i="8" s="1"/>
  <c r="CK44" i="8" s="1"/>
  <c r="CF32" i="8"/>
  <c r="BZ32" i="8"/>
  <c r="AH32" i="8"/>
  <c r="AI32" i="8"/>
  <c r="AG39" i="8"/>
  <c r="CD39" i="8"/>
  <c r="BZ52" i="8"/>
  <c r="AN52" i="8"/>
  <c r="AJ52" i="8"/>
  <c r="AF52" i="8"/>
  <c r="AM52" i="8"/>
  <c r="AI52" i="8"/>
  <c r="CD52" i="8"/>
  <c r="AH52" i="8"/>
  <c r="AK52" i="8"/>
  <c r="CB52" i="8"/>
  <c r="AG52" i="8"/>
  <c r="AG30" i="8"/>
  <c r="AK30" i="8"/>
  <c r="AI31" i="8"/>
  <c r="AM31" i="8"/>
  <c r="CF31" i="8"/>
  <c r="AF32" i="8"/>
  <c r="AJ32" i="8"/>
  <c r="AN32" i="8"/>
  <c r="AL33" i="8"/>
  <c r="CE36" i="8"/>
  <c r="CF36" i="8" s="1"/>
  <c r="CE40" i="8"/>
  <c r="CF40" i="8" s="1"/>
  <c r="AP42" i="8"/>
  <c r="CE44" i="8"/>
  <c r="CF44" i="8" s="1"/>
  <c r="AM45" i="8"/>
  <c r="AI45" i="8"/>
  <c r="CD45" i="8"/>
  <c r="AH45" i="8"/>
  <c r="AK45" i="8"/>
  <c r="BZ45" i="8"/>
  <c r="AK57" i="8"/>
  <c r="AG57" i="8"/>
  <c r="AN57" i="8"/>
  <c r="AJ57" i="8"/>
  <c r="AF57" i="8"/>
  <c r="CF57" i="8"/>
  <c r="AM57" i="8"/>
  <c r="AO57" i="8" s="1"/>
  <c r="AI57" i="8"/>
  <c r="CD32" i="8"/>
  <c r="BZ39" i="8"/>
  <c r="AN39" i="8"/>
  <c r="AJ39" i="8"/>
  <c r="AF39" i="8"/>
  <c r="AM39" i="8"/>
  <c r="AI39" i="8"/>
  <c r="CB39" i="8"/>
  <c r="AN53" i="8"/>
  <c r="AJ53" i="8"/>
  <c r="AF53" i="8"/>
  <c r="CD53" i="8"/>
  <c r="AM53" i="8"/>
  <c r="AO53" i="8" s="1"/>
  <c r="AI53" i="8"/>
  <c r="CB53" i="8"/>
  <c r="AH53" i="8"/>
  <c r="CF53" i="8"/>
  <c r="BZ53" i="8"/>
  <c r="AK53" i="8"/>
  <c r="CB58" i="8"/>
  <c r="AH58" i="8"/>
  <c r="CF58" i="8"/>
  <c r="BZ58" i="8"/>
  <c r="AK58" i="8"/>
  <c r="AG58" i="8"/>
  <c r="AN58" i="8"/>
  <c r="AO58" i="8" s="1"/>
  <c r="AJ58" i="8"/>
  <c r="AF58" i="8"/>
  <c r="CD58" i="8"/>
  <c r="AI58" i="8"/>
  <c r="CE25" i="8"/>
  <c r="CF25" i="8" s="1"/>
  <c r="AH31" i="8"/>
  <c r="CD31" i="8"/>
  <c r="AM32" i="8"/>
  <c r="CE39" i="8"/>
  <c r="CF39" i="8" s="1"/>
  <c r="AL43" i="8"/>
  <c r="AH30" i="8"/>
  <c r="BZ30" i="8"/>
  <c r="AF31" i="8"/>
  <c r="AJ31" i="8"/>
  <c r="AN31" i="8"/>
  <c r="AG32" i="8"/>
  <c r="AK32" i="8"/>
  <c r="CB32" i="8"/>
  <c r="AO33" i="8"/>
  <c r="AP33" i="8" s="1"/>
  <c r="CF35" i="8"/>
  <c r="BZ35" i="8"/>
  <c r="AK35" i="8"/>
  <c r="AG35" i="8"/>
  <c r="AN35" i="8"/>
  <c r="AO35" i="8" s="1"/>
  <c r="AJ35" i="8"/>
  <c r="AF35" i="8"/>
  <c r="CE37" i="8"/>
  <c r="CF37" i="8" s="1"/>
  <c r="CF38" i="8"/>
  <c r="BZ38" i="8"/>
  <c r="AN38" i="8"/>
  <c r="AJ38" i="8"/>
  <c r="AF38" i="8"/>
  <c r="AM38" i="8"/>
  <c r="AI38" i="8"/>
  <c r="CB38" i="8"/>
  <c r="AK39" i="8"/>
  <c r="CE41" i="8"/>
  <c r="CF41" i="8" s="1"/>
  <c r="AP43" i="8"/>
  <c r="CE45" i="8"/>
  <c r="CF45" i="8" s="1"/>
  <c r="CD46" i="8"/>
  <c r="CF46" i="8"/>
  <c r="AM46" i="8"/>
  <c r="AO46" i="8" s="1"/>
  <c r="AI46" i="8"/>
  <c r="AH46" i="8"/>
  <c r="AK46" i="8"/>
  <c r="BZ46" i="8"/>
  <c r="AH57" i="8"/>
  <c r="CD47" i="8"/>
  <c r="AH47" i="8"/>
  <c r="CF47" i="8"/>
  <c r="BZ47" i="8"/>
  <c r="AN47" i="8"/>
  <c r="AJ47" i="8"/>
  <c r="AF47" i="8"/>
  <c r="AK47" i="8"/>
  <c r="CB47" i="8"/>
  <c r="CB48" i="8"/>
  <c r="AH48" i="8"/>
  <c r="CF48" i="8"/>
  <c r="BZ48" i="8"/>
  <c r="AN48" i="8"/>
  <c r="AJ48" i="8"/>
  <c r="AF48" i="8"/>
  <c r="AK48" i="8"/>
  <c r="CB49" i="8"/>
  <c r="AK49" i="8"/>
  <c r="AG49" i="8"/>
  <c r="BZ49" i="8"/>
  <c r="AN49" i="8"/>
  <c r="AJ49" i="8"/>
  <c r="AF49" i="8"/>
  <c r="AM49" i="8"/>
  <c r="AI49" i="8"/>
  <c r="CF50" i="8"/>
  <c r="BZ50" i="8"/>
  <c r="AK50" i="8"/>
  <c r="AG50" i="8"/>
  <c r="AN50" i="8"/>
  <c r="AJ50" i="8"/>
  <c r="AF50" i="8"/>
  <c r="CD50" i="8"/>
  <c r="AM50" i="8"/>
  <c r="AO50" i="8" s="1"/>
  <c r="AI50" i="8"/>
  <c r="AN51" i="8"/>
  <c r="AJ51" i="8"/>
  <c r="AF51" i="8"/>
  <c r="AM51" i="8"/>
  <c r="AI51" i="8"/>
  <c r="CD51" i="8"/>
  <c r="AH51" i="8"/>
  <c r="CE52" i="8"/>
  <c r="CF52" i="8" s="1"/>
  <c r="AP59" i="8"/>
  <c r="AN60" i="8"/>
  <c r="AJ60" i="8"/>
  <c r="AF60" i="8"/>
  <c r="CD60" i="8"/>
  <c r="AM60" i="8"/>
  <c r="AO60" i="8" s="1"/>
  <c r="AI60" i="8"/>
  <c r="CB60" i="8"/>
  <c r="AH60" i="8"/>
  <c r="AM47" i="8"/>
  <c r="CE48" i="8"/>
  <c r="AM48" i="8"/>
  <c r="CD48" i="8"/>
  <c r="CE49" i="8"/>
  <c r="CF49" i="8" s="1"/>
  <c r="AH49" i="8"/>
  <c r="CD49" i="8"/>
  <c r="AH50" i="8"/>
  <c r="CE51" i="8"/>
  <c r="CF51" i="8" s="1"/>
  <c r="AG51" i="8"/>
  <c r="CB51" i="8"/>
  <c r="CE54" i="8"/>
  <c r="CF54" i="8" s="1"/>
  <c r="CB56" i="8"/>
  <c r="AH56" i="8"/>
  <c r="CF56" i="8"/>
  <c r="BZ56" i="8"/>
  <c r="AK56" i="8"/>
  <c r="AG56" i="8"/>
  <c r="AN56" i="8"/>
  <c r="AO56" i="8" s="1"/>
  <c r="AJ56" i="8"/>
  <c r="AF56" i="8"/>
  <c r="CE60" i="8"/>
  <c r="CF60" i="8" s="1"/>
  <c r="AG60" i="8"/>
  <c r="AG54" i="8"/>
  <c r="AK54" i="8"/>
  <c r="CB54" i="8"/>
  <c r="AG61" i="8"/>
  <c r="AK61" i="8"/>
  <c r="CB61" i="8"/>
  <c r="AG65" i="8"/>
  <c r="AK65" i="8"/>
  <c r="BZ65" i="8"/>
  <c r="AH54" i="8"/>
  <c r="CD54" i="8"/>
  <c r="AH61" i="8"/>
  <c r="CD61" i="8"/>
  <c r="AH65" i="8"/>
  <c r="CB65" i="8"/>
  <c r="AI54" i="8"/>
  <c r="AI61" i="8"/>
  <c r="AE65" i="8"/>
  <c r="AI65" i="8"/>
  <c r="AM65" i="8"/>
  <c r="AO65" i="8" s="1"/>
  <c r="AO28" i="8" l="1"/>
  <c r="AO47" i="8"/>
  <c r="AL48" i="8"/>
  <c r="AL38" i="8"/>
  <c r="AL45" i="8"/>
  <c r="CL44" i="8"/>
  <c r="AL50" i="8"/>
  <c r="AL47" i="8"/>
  <c r="AL40" i="8"/>
  <c r="AO31" i="8"/>
  <c r="AL31" i="8"/>
  <c r="AO45" i="8"/>
  <c r="AL60" i="8"/>
  <c r="AP60" i="8" s="1"/>
  <c r="CH60" i="8" s="1"/>
  <c r="CJ60" i="8" s="1"/>
  <c r="CK60" i="8" s="1"/>
  <c r="CL60" i="8" s="1"/>
  <c r="AL53" i="8"/>
  <c r="AO52" i="8"/>
  <c r="AL49" i="8"/>
  <c r="AO48" i="8"/>
  <c r="AP48" i="8" s="1"/>
  <c r="AL46" i="8"/>
  <c r="AL39" i="8"/>
  <c r="AL36" i="8"/>
  <c r="AL35" i="8"/>
  <c r="AP35" i="8" s="1"/>
  <c r="CH35" i="8" s="1"/>
  <c r="CJ35" i="8" s="1"/>
  <c r="CK35" i="8" s="1"/>
  <c r="CL35" i="8" s="1"/>
  <c r="AL32" i="8"/>
  <c r="AL30" i="8"/>
  <c r="AP30" i="8" s="1"/>
  <c r="CH30" i="8" s="1"/>
  <c r="CJ30" i="8" s="1"/>
  <c r="CK30" i="8" s="1"/>
  <c r="CL30" i="8" s="1"/>
  <c r="AH24" i="8"/>
  <c r="CD24" i="8"/>
  <c r="AO27" i="8"/>
  <c r="CH33" i="8"/>
  <c r="CJ33" i="8" s="1"/>
  <c r="CK33" i="8" s="1"/>
  <c r="CL33" i="8" s="1"/>
  <c r="CF24" i="8"/>
  <c r="AG24" i="8"/>
  <c r="AL25" i="8"/>
  <c r="AL37" i="8"/>
  <c r="AP37" i="8" s="1"/>
  <c r="AO37" i="8"/>
  <c r="CH43" i="8"/>
  <c r="CJ43" i="8" s="1"/>
  <c r="CK43" i="8" s="1"/>
  <c r="CL43" i="8" s="1"/>
  <c r="AF24" i="8"/>
  <c r="CB24" i="8"/>
  <c r="AL54" i="8"/>
  <c r="AP54" i="8" s="1"/>
  <c r="AL51" i="8"/>
  <c r="CH59" i="8"/>
  <c r="CJ59" i="8" s="1"/>
  <c r="CK59" i="8" s="1"/>
  <c r="CL59" i="8" s="1"/>
  <c r="AP50" i="8"/>
  <c r="AL52" i="8"/>
  <c r="AP52" i="8" s="1"/>
  <c r="AJ24" i="8"/>
  <c r="AE24" i="8"/>
  <c r="AL61" i="8"/>
  <c r="AP61" i="8" s="1"/>
  <c r="AO51" i="8"/>
  <c r="AO49" i="8"/>
  <c r="AP46" i="8"/>
  <c r="AO38" i="8"/>
  <c r="AL58" i="8"/>
  <c r="AP58" i="8" s="1"/>
  <c r="AP53" i="8"/>
  <c r="AP45" i="8"/>
  <c r="AP31" i="8"/>
  <c r="AO36" i="8"/>
  <c r="AL29" i="8"/>
  <c r="AO29" i="8"/>
  <c r="AL26" i="8"/>
  <c r="AP26" i="8" s="1"/>
  <c r="AI24" i="8"/>
  <c r="AN24" i="8"/>
  <c r="AL65" i="8"/>
  <c r="AP65" i="8" s="1"/>
  <c r="CK65" i="8" s="1"/>
  <c r="CL65" i="8" s="1"/>
  <c r="AL56" i="8"/>
  <c r="AP56" i="8" s="1"/>
  <c r="AO32" i="8"/>
  <c r="AP32" i="8" s="1"/>
  <c r="CE24" i="8"/>
  <c r="AO39" i="8"/>
  <c r="AP39" i="8" s="1"/>
  <c r="AL57" i="8"/>
  <c r="AP57" i="8" s="1"/>
  <c r="CH42" i="8"/>
  <c r="CJ42" i="8" s="1"/>
  <c r="CK42" i="8" s="1"/>
  <c r="CL42" i="8" s="1"/>
  <c r="AO40" i="8"/>
  <c r="AL27" i="8"/>
  <c r="AP27" i="8" s="1"/>
  <c r="AO25" i="8"/>
  <c r="AM24" i="8"/>
  <c r="BZ24" i="8"/>
  <c r="AK24" i="8"/>
  <c r="AL41" i="8"/>
  <c r="AO41" i="8"/>
  <c r="AL28" i="8"/>
  <c r="AP28" i="8" s="1"/>
  <c r="H71" i="7"/>
  <c r="CF31" i="7"/>
  <c r="CD28" i="7"/>
  <c r="CD29" i="7"/>
  <c r="CD30" i="7"/>
  <c r="CD31" i="7"/>
  <c r="CD33" i="7"/>
  <c r="CD34" i="7"/>
  <c r="CD35" i="7"/>
  <c r="CD36" i="7"/>
  <c r="CD37" i="7"/>
  <c r="CD38" i="7"/>
  <c r="CD39" i="7"/>
  <c r="CD40" i="7"/>
  <c r="CD41" i="7"/>
  <c r="CD42" i="7"/>
  <c r="CD43" i="7"/>
  <c r="CD44" i="7"/>
  <c r="CD45" i="7"/>
  <c r="CD47" i="7"/>
  <c r="CD48" i="7"/>
  <c r="CD49" i="7"/>
  <c r="CD50" i="7"/>
  <c r="CD51" i="7"/>
  <c r="CD53" i="7"/>
  <c r="CD54" i="7"/>
  <c r="CD55" i="7"/>
  <c r="CD56" i="7"/>
  <c r="CD57" i="7"/>
  <c r="CB41" i="7"/>
  <c r="BP57" i="7"/>
  <c r="BP58" i="7"/>
  <c r="BP59" i="7"/>
  <c r="BP60" i="7"/>
  <c r="BP61" i="7"/>
  <c r="BP62" i="7"/>
  <c r="AX25" i="7"/>
  <c r="BF26" i="7"/>
  <c r="BF27" i="7"/>
  <c r="BF28" i="7"/>
  <c r="BF29" i="7"/>
  <c r="BF30" i="7"/>
  <c r="BF31" i="7"/>
  <c r="BF32" i="7"/>
  <c r="BF33" i="7"/>
  <c r="BF34" i="7"/>
  <c r="BF35" i="7"/>
  <c r="BF36" i="7"/>
  <c r="BF37" i="7"/>
  <c r="BF38" i="7"/>
  <c r="BF39" i="7"/>
  <c r="BF40" i="7"/>
  <c r="BF41" i="7"/>
  <c r="BF42" i="7"/>
  <c r="BF43" i="7"/>
  <c r="BF44" i="7"/>
  <c r="BF45" i="7"/>
  <c r="BF46" i="7"/>
  <c r="BF47" i="7"/>
  <c r="BF48" i="7"/>
  <c r="BF49" i="7"/>
  <c r="BF50" i="7"/>
  <c r="BF51" i="7"/>
  <c r="BF53" i="7"/>
  <c r="BF54" i="7"/>
  <c r="BF55" i="7"/>
  <c r="BF56" i="7"/>
  <c r="BF57" i="7"/>
  <c r="BF58" i="7"/>
  <c r="BF59" i="7"/>
  <c r="BF60" i="7"/>
  <c r="BF61" i="7"/>
  <c r="BF62" i="7"/>
  <c r="BF25" i="7"/>
  <c r="AX56" i="7"/>
  <c r="AX57" i="7"/>
  <c r="AX58" i="7"/>
  <c r="AX59" i="7"/>
  <c r="AX60" i="7"/>
  <c r="AX61" i="7"/>
  <c r="AX62" i="7"/>
  <c r="AP47" i="8" l="1"/>
  <c r="AP29" i="8"/>
  <c r="CH29" i="8" s="1"/>
  <c r="CJ29" i="8" s="1"/>
  <c r="CK29" i="8" s="1"/>
  <c r="CL29" i="8" s="1"/>
  <c r="AP36" i="8"/>
  <c r="AP40" i="8"/>
  <c r="AP38" i="8"/>
  <c r="CH38" i="8" s="1"/>
  <c r="CJ38" i="8" s="1"/>
  <c r="CK38" i="8" s="1"/>
  <c r="CL38" i="8" s="1"/>
  <c r="AP51" i="8"/>
  <c r="CH51" i="8" s="1"/>
  <c r="CJ51" i="8" s="1"/>
  <c r="CK51" i="8" s="1"/>
  <c r="CL51" i="8" s="1"/>
  <c r="AP49" i="8"/>
  <c r="AP41" i="8"/>
  <c r="CH41" i="8" s="1"/>
  <c r="CJ41" i="8" s="1"/>
  <c r="CK41" i="8" s="1"/>
  <c r="CL41" i="8" s="1"/>
  <c r="CH32" i="8"/>
  <c r="CJ32" i="8" s="1"/>
  <c r="CK32" i="8" s="1"/>
  <c r="CL32" i="8" s="1"/>
  <c r="CH37" i="8"/>
  <c r="CJ37" i="8" s="1"/>
  <c r="CK37" i="8" s="1"/>
  <c r="CL37" i="8" s="1"/>
  <c r="CH28" i="8"/>
  <c r="CJ28" i="8" s="1"/>
  <c r="CK28" i="8" s="1"/>
  <c r="CL28" i="8" s="1"/>
  <c r="CH40" i="8"/>
  <c r="CJ40" i="8" s="1"/>
  <c r="CK40" i="8" s="1"/>
  <c r="CL40" i="8" s="1"/>
  <c r="CH57" i="8"/>
  <c r="CJ57" i="8" s="1"/>
  <c r="CK57" i="8" s="1"/>
  <c r="CL57" i="8" s="1"/>
  <c r="CH56" i="8"/>
  <c r="CJ56" i="8" s="1"/>
  <c r="CK56" i="8" s="1"/>
  <c r="CL56" i="8" s="1"/>
  <c r="CH36" i="8"/>
  <c r="CJ36" i="8" s="1"/>
  <c r="CK36" i="8" s="1"/>
  <c r="CL36" i="8" s="1"/>
  <c r="CH49" i="8"/>
  <c r="CJ49" i="8" s="1"/>
  <c r="CK49" i="8" s="1"/>
  <c r="CL49" i="8" s="1"/>
  <c r="CH26" i="8"/>
  <c r="CJ26" i="8" s="1"/>
  <c r="CK26" i="8" s="1"/>
  <c r="CL26" i="8" s="1"/>
  <c r="CH58" i="8"/>
  <c r="CJ58" i="8" s="1"/>
  <c r="CK58" i="8" s="1"/>
  <c r="CL58" i="8" s="1"/>
  <c r="CH27" i="8"/>
  <c r="CJ27" i="8" s="1"/>
  <c r="CK27" i="8" s="1"/>
  <c r="CL27" i="8" s="1"/>
  <c r="CH54" i="8"/>
  <c r="CJ54" i="8" s="1"/>
  <c r="CK54" i="8" s="1"/>
  <c r="CL54" i="8" s="1"/>
  <c r="CH50" i="8"/>
  <c r="CJ50" i="8" s="1"/>
  <c r="CK50" i="8" s="1"/>
  <c r="CL50" i="8" s="1"/>
  <c r="AL24" i="8"/>
  <c r="CH45" i="8"/>
  <c r="CJ45" i="8" s="1"/>
  <c r="CK45" i="8" s="1"/>
  <c r="CL45" i="8" s="1"/>
  <c r="CH46" i="8"/>
  <c r="CJ46" i="8" s="1"/>
  <c r="CK46" i="8" s="1"/>
  <c r="CL46" i="8" s="1"/>
  <c r="CH53" i="8"/>
  <c r="CJ53" i="8" s="1"/>
  <c r="CK53" i="8" s="1"/>
  <c r="CL53" i="8" s="1"/>
  <c r="CH39" i="8"/>
  <c r="CJ39" i="8" s="1"/>
  <c r="CK39" i="8" s="1"/>
  <c r="CL39" i="8" s="1"/>
  <c r="CH47" i="8"/>
  <c r="CJ47" i="8" s="1"/>
  <c r="CK47" i="8" s="1"/>
  <c r="CL47" i="8" s="1"/>
  <c r="AO24" i="8"/>
  <c r="CH52" i="8"/>
  <c r="CJ52" i="8" s="1"/>
  <c r="CK52" i="8" s="1"/>
  <c r="CL52" i="8" s="1"/>
  <c r="CH61" i="8"/>
  <c r="CJ61" i="8" s="1"/>
  <c r="CK61" i="8" s="1"/>
  <c r="CL61" i="8" s="1"/>
  <c r="CH31" i="8"/>
  <c r="CJ31" i="8" s="1"/>
  <c r="CK31" i="8" s="1"/>
  <c r="CL31" i="8" s="1"/>
  <c r="AP25" i="8"/>
  <c r="CH48" i="8"/>
  <c r="CJ48" i="8" s="1"/>
  <c r="CK48" i="8" s="1"/>
  <c r="CL48" i="8" s="1"/>
  <c r="AF28" i="7"/>
  <c r="AG28" i="7"/>
  <c r="AH28" i="7"/>
  <c r="AI28" i="7"/>
  <c r="AJ28" i="7"/>
  <c r="AK28" i="7"/>
  <c r="AM28" i="7"/>
  <c r="AN28" i="7"/>
  <c r="AF29" i="7"/>
  <c r="AG29" i="7"/>
  <c r="AH29" i="7"/>
  <c r="AI29" i="7"/>
  <c r="AJ29" i="7"/>
  <c r="AK29" i="7"/>
  <c r="AM29" i="7"/>
  <c r="AN29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3" i="7"/>
  <c r="AD54" i="7"/>
  <c r="AD55" i="7"/>
  <c r="AD56" i="7"/>
  <c r="AD57" i="7"/>
  <c r="AD58" i="7"/>
  <c r="AD59" i="7"/>
  <c r="AD60" i="7"/>
  <c r="AD61" i="7"/>
  <c r="AD62" i="7"/>
  <c r="AC26" i="7"/>
  <c r="AC27" i="7"/>
  <c r="AC28" i="7"/>
  <c r="AC29" i="7"/>
  <c r="AC30" i="7"/>
  <c r="AC31" i="7"/>
  <c r="AC32" i="7"/>
  <c r="AC33" i="7"/>
  <c r="AC34" i="7"/>
  <c r="AC35" i="7"/>
  <c r="AC36" i="7"/>
  <c r="AC37" i="7"/>
  <c r="AC38" i="7"/>
  <c r="AC39" i="7"/>
  <c r="AC40" i="7"/>
  <c r="CE40" i="7" s="1"/>
  <c r="CF40" i="7" s="1"/>
  <c r="AC41" i="7"/>
  <c r="AC42" i="7"/>
  <c r="AC43" i="7"/>
  <c r="AC44" i="7"/>
  <c r="AC45" i="7"/>
  <c r="AC46" i="7"/>
  <c r="AC47" i="7"/>
  <c r="AC48" i="7"/>
  <c r="AC49" i="7"/>
  <c r="AC50" i="7"/>
  <c r="AC51" i="7"/>
  <c r="AC53" i="7"/>
  <c r="AC54" i="7"/>
  <c r="AC55" i="7"/>
  <c r="AC56" i="7"/>
  <c r="CE56" i="7" s="1"/>
  <c r="CF56" i="7" s="1"/>
  <c r="AC57" i="7"/>
  <c r="AC58" i="7"/>
  <c r="AC59" i="7"/>
  <c r="AC60" i="7"/>
  <c r="AC61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3" i="7"/>
  <c r="X54" i="7"/>
  <c r="X55" i="7"/>
  <c r="X56" i="7"/>
  <c r="X57" i="7"/>
  <c r="X58" i="7"/>
  <c r="X59" i="7"/>
  <c r="X60" i="7"/>
  <c r="X61" i="7"/>
  <c r="X62" i="7"/>
  <c r="W26" i="7"/>
  <c r="W27" i="7"/>
  <c r="W28" i="7"/>
  <c r="W29" i="7"/>
  <c r="CE29" i="7" s="1"/>
  <c r="CF29" i="7" s="1"/>
  <c r="W30" i="7"/>
  <c r="CE30" i="7" s="1"/>
  <c r="CF30" i="7" s="1"/>
  <c r="W31" i="7"/>
  <c r="W32" i="7"/>
  <c r="W33" i="7"/>
  <c r="CE33" i="7" s="1"/>
  <c r="CF33" i="7" s="1"/>
  <c r="W34" i="7"/>
  <c r="CE34" i="7" s="1"/>
  <c r="CF34" i="7" s="1"/>
  <c r="W35" i="7"/>
  <c r="W36" i="7"/>
  <c r="W37" i="7"/>
  <c r="CE37" i="7" s="1"/>
  <c r="CF37" i="7" s="1"/>
  <c r="W38" i="7"/>
  <c r="CE38" i="7" s="1"/>
  <c r="CF38" i="7" s="1"/>
  <c r="W39" i="7"/>
  <c r="W41" i="7"/>
  <c r="CE41" i="7" s="1"/>
  <c r="CF41" i="7" s="1"/>
  <c r="W42" i="7"/>
  <c r="CE42" i="7" s="1"/>
  <c r="CF42" i="7" s="1"/>
  <c r="W43" i="7"/>
  <c r="W44" i="7"/>
  <c r="W45" i="7"/>
  <c r="CE45" i="7" s="1"/>
  <c r="CF45" i="7" s="1"/>
  <c r="W46" i="7"/>
  <c r="CE46" i="7" s="1"/>
  <c r="CF46" i="7" s="1"/>
  <c r="W47" i="7"/>
  <c r="W48" i="7"/>
  <c r="W49" i="7"/>
  <c r="CE49" i="7" s="1"/>
  <c r="CF49" i="7" s="1"/>
  <c r="W50" i="7"/>
  <c r="CE50" i="7" s="1"/>
  <c r="CF50" i="7" s="1"/>
  <c r="W51" i="7"/>
  <c r="CF51" i="7" s="1"/>
  <c r="W53" i="7"/>
  <c r="W54" i="7"/>
  <c r="CE54" i="7" s="1"/>
  <c r="CF54" i="7" s="1"/>
  <c r="W55" i="7"/>
  <c r="CE55" i="7" s="1"/>
  <c r="CF55" i="7" s="1"/>
  <c r="W56" i="7"/>
  <c r="W57" i="7"/>
  <c r="W58" i="7"/>
  <c r="CE58" i="7" s="1"/>
  <c r="CF58" i="7" s="1"/>
  <c r="W59" i="7"/>
  <c r="W60" i="7"/>
  <c r="W61" i="7"/>
  <c r="W62" i="7"/>
  <c r="CE62" i="7" s="1"/>
  <c r="CF62" i="7" s="1"/>
  <c r="I24" i="7"/>
  <c r="W7" i="7" s="1"/>
  <c r="AC62" i="7"/>
  <c r="BR61" i="7"/>
  <c r="BL61" i="7"/>
  <c r="BJ61" i="7"/>
  <c r="BH61" i="7"/>
  <c r="BD61" i="7"/>
  <c r="AZ61" i="7"/>
  <c r="AV61" i="7"/>
  <c r="AT61" i="7"/>
  <c r="AR61" i="7"/>
  <c r="CE48" i="7" l="1"/>
  <c r="CF48" i="7" s="1"/>
  <c r="CE28" i="7"/>
  <c r="CF28" i="7" s="1"/>
  <c r="CE60" i="7"/>
  <c r="CF60" i="7" s="1"/>
  <c r="CE47" i="7"/>
  <c r="CF47" i="7" s="1"/>
  <c r="CE43" i="7"/>
  <c r="CF43" i="7" s="1"/>
  <c r="CE39" i="7"/>
  <c r="CF39" i="7" s="1"/>
  <c r="CE35" i="7"/>
  <c r="CF35" i="7" s="1"/>
  <c r="CE27" i="7"/>
  <c r="CE59" i="7"/>
  <c r="CF59" i="7" s="1"/>
  <c r="CE53" i="7"/>
  <c r="CF53" i="7" s="1"/>
  <c r="CE44" i="7"/>
  <c r="CF44" i="7" s="1"/>
  <c r="CE32" i="7"/>
  <c r="CF32" i="7" s="1"/>
  <c r="CE57" i="7"/>
  <c r="CF57" i="7" s="1"/>
  <c r="CE36" i="7"/>
  <c r="CF36" i="7" s="1"/>
  <c r="CE61" i="7"/>
  <c r="CF61" i="7" s="1"/>
  <c r="CE26" i="7"/>
  <c r="CC26" i="7"/>
  <c r="AO28" i="7"/>
  <c r="AO29" i="7"/>
  <c r="AL29" i="7"/>
  <c r="AP29" i="7" s="1"/>
  <c r="CH29" i="7" s="1"/>
  <c r="AL28" i="7"/>
  <c r="AP28" i="7" s="1"/>
  <c r="CH32" i="7"/>
  <c r="CH25" i="8"/>
  <c r="AP24" i="8"/>
  <c r="CH33" i="7"/>
  <c r="CH37" i="7"/>
  <c r="CH62" i="7"/>
  <c r="CH58" i="7"/>
  <c r="CJ58" i="7" s="1"/>
  <c r="CK58" i="7" s="1"/>
  <c r="CL58" i="7" s="1"/>
  <c r="CH54" i="7"/>
  <c r="CH49" i="7"/>
  <c r="CH45" i="7"/>
  <c r="CH41" i="7"/>
  <c r="BZ61" i="7"/>
  <c r="CD61" i="7"/>
  <c r="CB61" i="7"/>
  <c r="BR71" i="7"/>
  <c r="BP71" i="7"/>
  <c r="BN71" i="7"/>
  <c r="BL71" i="7"/>
  <c r="BJ71" i="7"/>
  <c r="BH71" i="7"/>
  <c r="BF71" i="7"/>
  <c r="BD71" i="7"/>
  <c r="BB71" i="7"/>
  <c r="AZ71" i="7"/>
  <c r="AX71" i="7"/>
  <c r="AV71" i="7"/>
  <c r="AT71" i="7"/>
  <c r="AR71" i="7"/>
  <c r="AD71" i="7"/>
  <c r="AC71" i="7"/>
  <c r="X71" i="7"/>
  <c r="W71" i="7"/>
  <c r="CB33" i="7"/>
  <c r="CB42" i="7"/>
  <c r="CB43" i="7"/>
  <c r="CB44" i="7"/>
  <c r="BZ33" i="7"/>
  <c r="BZ42" i="7"/>
  <c r="BZ43" i="7"/>
  <c r="BZ44" i="7"/>
  <c r="BR27" i="7"/>
  <c r="BR29" i="7"/>
  <c r="BR30" i="7"/>
  <c r="BR31" i="7"/>
  <c r="BR32" i="7"/>
  <c r="BR33" i="7"/>
  <c r="BR34" i="7"/>
  <c r="BR35" i="7"/>
  <c r="BR36" i="7"/>
  <c r="BR37" i="7"/>
  <c r="BR38" i="7"/>
  <c r="BR39" i="7"/>
  <c r="BR40" i="7"/>
  <c r="BR41" i="7"/>
  <c r="BR42" i="7"/>
  <c r="BR43" i="7"/>
  <c r="BR44" i="7"/>
  <c r="BR45" i="7"/>
  <c r="BR46" i="7"/>
  <c r="BR47" i="7"/>
  <c r="BR48" i="7"/>
  <c r="BR49" i="7"/>
  <c r="BR50" i="7"/>
  <c r="BR51" i="7"/>
  <c r="BR53" i="7"/>
  <c r="BR54" i="7"/>
  <c r="BR55" i="7"/>
  <c r="BR56" i="7"/>
  <c r="BR57" i="7"/>
  <c r="BR59" i="7"/>
  <c r="BR62" i="7"/>
  <c r="BP27" i="7"/>
  <c r="BP29" i="7"/>
  <c r="BP30" i="7"/>
  <c r="BP31" i="7"/>
  <c r="BP32" i="7"/>
  <c r="BP33" i="7"/>
  <c r="BP34" i="7"/>
  <c r="BP35" i="7"/>
  <c r="BP36" i="7"/>
  <c r="BP37" i="7"/>
  <c r="BP38" i="7"/>
  <c r="BP39" i="7"/>
  <c r="BP40" i="7"/>
  <c r="BP41" i="7"/>
  <c r="BP42" i="7"/>
  <c r="BP43" i="7"/>
  <c r="BP44" i="7"/>
  <c r="BP45" i="7"/>
  <c r="BP46" i="7"/>
  <c r="BP47" i="7"/>
  <c r="BP48" i="7"/>
  <c r="BP49" i="7"/>
  <c r="BP50" i="7"/>
  <c r="BP51" i="7"/>
  <c r="BP53" i="7"/>
  <c r="BP54" i="7"/>
  <c r="BP55" i="7"/>
  <c r="BP56" i="7"/>
  <c r="BR26" i="7"/>
  <c r="BP26" i="7"/>
  <c r="BR25" i="7"/>
  <c r="BP25" i="7"/>
  <c r="BQ24" i="7"/>
  <c r="BO24" i="7"/>
  <c r="BN29" i="7"/>
  <c r="BN30" i="7"/>
  <c r="BN31" i="7"/>
  <c r="BN32" i="7"/>
  <c r="BN33" i="7"/>
  <c r="BN34" i="7"/>
  <c r="BN35" i="7"/>
  <c r="BN36" i="7"/>
  <c r="BN37" i="7"/>
  <c r="BN38" i="7"/>
  <c r="BN39" i="7"/>
  <c r="BN41" i="7"/>
  <c r="BN42" i="7"/>
  <c r="BN43" i="7"/>
  <c r="BN44" i="7"/>
  <c r="BN45" i="7"/>
  <c r="BN46" i="7"/>
  <c r="BN47" i="7"/>
  <c r="BN48" i="7"/>
  <c r="BN49" i="7"/>
  <c r="BN50" i="7"/>
  <c r="BN51" i="7"/>
  <c r="BN53" i="7"/>
  <c r="BN54" i="7"/>
  <c r="BN55" i="7"/>
  <c r="BN56" i="7"/>
  <c r="BN57" i="7"/>
  <c r="BL29" i="7"/>
  <c r="BL30" i="7"/>
  <c r="BL31" i="7"/>
  <c r="BL32" i="7"/>
  <c r="BL33" i="7"/>
  <c r="BL34" i="7"/>
  <c r="BL35" i="7"/>
  <c r="BL36" i="7"/>
  <c r="BL37" i="7"/>
  <c r="BL38" i="7"/>
  <c r="BL39" i="7"/>
  <c r="BL40" i="7"/>
  <c r="BL41" i="7"/>
  <c r="BL42" i="7"/>
  <c r="BL43" i="7"/>
  <c r="BL44" i="7"/>
  <c r="BL45" i="7"/>
  <c r="BL46" i="7"/>
  <c r="BL47" i="7"/>
  <c r="BL48" i="7"/>
  <c r="BL49" i="7"/>
  <c r="BL50" i="7"/>
  <c r="BL51" i="7"/>
  <c r="BL53" i="7"/>
  <c r="BL54" i="7"/>
  <c r="BL55" i="7"/>
  <c r="BL56" i="7"/>
  <c r="BL57" i="7"/>
  <c r="BL59" i="7"/>
  <c r="BL62" i="7"/>
  <c r="BJ29" i="7"/>
  <c r="BJ30" i="7"/>
  <c r="BJ31" i="7"/>
  <c r="BJ32" i="7"/>
  <c r="BJ33" i="7"/>
  <c r="BJ34" i="7"/>
  <c r="BJ35" i="7"/>
  <c r="BJ36" i="7"/>
  <c r="BJ37" i="7"/>
  <c r="BJ38" i="7"/>
  <c r="BJ39" i="7"/>
  <c r="BJ40" i="7"/>
  <c r="BJ41" i="7"/>
  <c r="BJ42" i="7"/>
  <c r="BJ43" i="7"/>
  <c r="BJ44" i="7"/>
  <c r="BJ45" i="7"/>
  <c r="BJ46" i="7"/>
  <c r="BJ47" i="7"/>
  <c r="BJ48" i="7"/>
  <c r="BJ49" i="7"/>
  <c r="BJ50" i="7"/>
  <c r="BJ51" i="7"/>
  <c r="BJ53" i="7"/>
  <c r="BJ54" i="7"/>
  <c r="BJ55" i="7"/>
  <c r="BJ56" i="7"/>
  <c r="BJ57" i="7"/>
  <c r="BJ59" i="7"/>
  <c r="BJ62" i="7"/>
  <c r="BH27" i="7"/>
  <c r="BH29" i="7"/>
  <c r="BH32" i="7"/>
  <c r="BH33" i="7"/>
  <c r="BH34" i="7"/>
  <c r="BH35" i="7"/>
  <c r="BH36" i="7"/>
  <c r="BH37" i="7"/>
  <c r="BH38" i="7"/>
  <c r="BH39" i="7"/>
  <c r="BH40" i="7"/>
  <c r="BH41" i="7"/>
  <c r="BH42" i="7"/>
  <c r="BH43" i="7"/>
  <c r="BH44" i="7"/>
  <c r="BH45" i="7"/>
  <c r="BH46" i="7"/>
  <c r="BH47" i="7"/>
  <c r="BH48" i="7"/>
  <c r="BH49" i="7"/>
  <c r="BH50" i="7"/>
  <c r="BH51" i="7"/>
  <c r="BH53" i="7"/>
  <c r="BH54" i="7"/>
  <c r="BH55" i="7"/>
  <c r="BH56" i="7"/>
  <c r="BH57" i="7"/>
  <c r="BH59" i="7"/>
  <c r="BH62" i="7"/>
  <c r="BD27" i="7"/>
  <c r="BD29" i="7"/>
  <c r="BD30" i="7"/>
  <c r="BD31" i="7"/>
  <c r="BD32" i="7"/>
  <c r="BD33" i="7"/>
  <c r="BD34" i="7"/>
  <c r="BD35" i="7"/>
  <c r="BD36" i="7"/>
  <c r="BD37" i="7"/>
  <c r="BD38" i="7"/>
  <c r="BD39" i="7"/>
  <c r="BD40" i="7"/>
  <c r="BD41" i="7"/>
  <c r="BD42" i="7"/>
  <c r="BD43" i="7"/>
  <c r="BD44" i="7"/>
  <c r="BD45" i="7"/>
  <c r="BD46" i="7"/>
  <c r="BD47" i="7"/>
  <c r="BD48" i="7"/>
  <c r="BD49" i="7"/>
  <c r="BD50" i="7"/>
  <c r="BD51" i="7"/>
  <c r="BD53" i="7"/>
  <c r="BD54" i="7"/>
  <c r="BD55" i="7"/>
  <c r="BD56" i="7"/>
  <c r="BD57" i="7"/>
  <c r="BD59" i="7"/>
  <c r="BD62" i="7"/>
  <c r="BB27" i="7"/>
  <c r="BB29" i="7"/>
  <c r="BB30" i="7"/>
  <c r="BB31" i="7"/>
  <c r="BB32" i="7"/>
  <c r="BB33" i="7"/>
  <c r="BB34" i="7"/>
  <c r="BB35" i="7"/>
  <c r="BB36" i="7"/>
  <c r="BB37" i="7"/>
  <c r="BB38" i="7"/>
  <c r="BB39" i="7"/>
  <c r="BB40" i="7"/>
  <c r="BB41" i="7"/>
  <c r="BB42" i="7"/>
  <c r="BB43" i="7"/>
  <c r="BB44" i="7"/>
  <c r="BB45" i="7"/>
  <c r="BB46" i="7"/>
  <c r="BB47" i="7"/>
  <c r="BB48" i="7"/>
  <c r="BB49" i="7"/>
  <c r="BB50" i="7"/>
  <c r="BB51" i="7"/>
  <c r="BB53" i="7"/>
  <c r="BB54" i="7"/>
  <c r="BB55" i="7"/>
  <c r="BB56" i="7"/>
  <c r="BB57" i="7"/>
  <c r="AZ27" i="7"/>
  <c r="AZ29" i="7"/>
  <c r="AZ31" i="7"/>
  <c r="AZ32" i="7"/>
  <c r="AZ33" i="7"/>
  <c r="AZ34" i="7"/>
  <c r="AZ35" i="7"/>
  <c r="AZ36" i="7"/>
  <c r="AZ37" i="7"/>
  <c r="AZ38" i="7"/>
  <c r="AZ39" i="7"/>
  <c r="AZ40" i="7"/>
  <c r="AZ41" i="7"/>
  <c r="AZ42" i="7"/>
  <c r="AZ43" i="7"/>
  <c r="AZ44" i="7"/>
  <c r="AZ45" i="7"/>
  <c r="AZ46" i="7"/>
  <c r="AZ47" i="7"/>
  <c r="AZ48" i="7"/>
  <c r="AZ49" i="7"/>
  <c r="AZ50" i="7"/>
  <c r="AZ51" i="7"/>
  <c r="AZ53" i="7"/>
  <c r="AZ54" i="7"/>
  <c r="AZ55" i="7"/>
  <c r="AZ56" i="7"/>
  <c r="AZ57" i="7"/>
  <c r="AZ59" i="7"/>
  <c r="AZ62" i="7"/>
  <c r="AX27" i="7"/>
  <c r="AX29" i="7"/>
  <c r="AX30" i="7"/>
  <c r="AX31" i="7"/>
  <c r="AX32" i="7"/>
  <c r="AX33" i="7"/>
  <c r="AX34" i="7"/>
  <c r="AX35" i="7"/>
  <c r="AX36" i="7"/>
  <c r="AX37" i="7"/>
  <c r="AX38" i="7"/>
  <c r="AX39" i="7"/>
  <c r="AX40" i="7"/>
  <c r="AX41" i="7"/>
  <c r="AX42" i="7"/>
  <c r="AX43" i="7"/>
  <c r="AX44" i="7"/>
  <c r="AX45" i="7"/>
  <c r="AX46" i="7"/>
  <c r="AX47" i="7"/>
  <c r="AX48" i="7"/>
  <c r="AX49" i="7"/>
  <c r="AX50" i="7"/>
  <c r="AX51" i="7"/>
  <c r="AX53" i="7"/>
  <c r="AX54" i="7"/>
  <c r="AX55" i="7"/>
  <c r="AV27" i="7"/>
  <c r="AV29" i="7"/>
  <c r="AV30" i="7"/>
  <c r="AV31" i="7"/>
  <c r="AV32" i="7"/>
  <c r="AV33" i="7"/>
  <c r="AV34" i="7"/>
  <c r="AV35" i="7"/>
  <c r="AV36" i="7"/>
  <c r="AV37" i="7"/>
  <c r="AV38" i="7"/>
  <c r="AV39" i="7"/>
  <c r="AV40" i="7"/>
  <c r="AV41" i="7"/>
  <c r="AV42" i="7"/>
  <c r="AV43" i="7"/>
  <c r="AV44" i="7"/>
  <c r="AV45" i="7"/>
  <c r="AV46" i="7"/>
  <c r="AV47" i="7"/>
  <c r="AV48" i="7"/>
  <c r="AV49" i="7"/>
  <c r="AV50" i="7"/>
  <c r="AV51" i="7"/>
  <c r="AV53" i="7"/>
  <c r="AV54" i="7"/>
  <c r="AV55" i="7"/>
  <c r="AV56" i="7"/>
  <c r="AV57" i="7"/>
  <c r="AV59" i="7"/>
  <c r="AV62" i="7"/>
  <c r="AT27" i="7"/>
  <c r="AT29" i="7"/>
  <c r="AT30" i="7"/>
  <c r="AT31" i="7"/>
  <c r="AT32" i="7"/>
  <c r="AT33" i="7"/>
  <c r="AT34" i="7"/>
  <c r="AT35" i="7"/>
  <c r="AT36" i="7"/>
  <c r="AT37" i="7"/>
  <c r="AT38" i="7"/>
  <c r="AT39" i="7"/>
  <c r="AT40" i="7"/>
  <c r="AT41" i="7"/>
  <c r="AT42" i="7"/>
  <c r="AT43" i="7"/>
  <c r="AT44" i="7"/>
  <c r="AT45" i="7"/>
  <c r="AT46" i="7"/>
  <c r="AT47" i="7"/>
  <c r="AT48" i="7"/>
  <c r="AT49" i="7"/>
  <c r="AT50" i="7"/>
  <c r="AT51" i="7"/>
  <c r="AT53" i="7"/>
  <c r="AT54" i="7"/>
  <c r="AT55" i="7"/>
  <c r="AT56" i="7"/>
  <c r="AT57" i="7"/>
  <c r="AT59" i="7"/>
  <c r="AT62" i="7"/>
  <c r="AR27" i="7"/>
  <c r="AR29" i="7"/>
  <c r="AR30" i="7"/>
  <c r="AR31" i="7"/>
  <c r="AR32" i="7"/>
  <c r="AR33" i="7"/>
  <c r="AR34" i="7"/>
  <c r="AR35" i="7"/>
  <c r="AR36" i="7"/>
  <c r="AR37" i="7"/>
  <c r="AR38" i="7"/>
  <c r="AR39" i="7"/>
  <c r="AR40" i="7"/>
  <c r="AR41" i="7"/>
  <c r="AR42" i="7"/>
  <c r="AR43" i="7"/>
  <c r="AR44" i="7"/>
  <c r="AR45" i="7"/>
  <c r="AR46" i="7"/>
  <c r="AR47" i="7"/>
  <c r="AR48" i="7"/>
  <c r="AR49" i="7"/>
  <c r="AR50" i="7"/>
  <c r="AR51" i="7"/>
  <c r="AR53" i="7"/>
  <c r="AR54" i="7"/>
  <c r="AR55" i="7"/>
  <c r="AR56" i="7"/>
  <c r="AR57" i="7"/>
  <c r="AR59" i="7"/>
  <c r="AR62" i="7"/>
  <c r="BN27" i="7"/>
  <c r="BL27" i="7"/>
  <c r="BJ27" i="7"/>
  <c r="BN26" i="7"/>
  <c r="BL26" i="7"/>
  <c r="BJ26" i="7"/>
  <c r="BH26" i="7"/>
  <c r="BD26" i="7"/>
  <c r="BB26" i="7"/>
  <c r="AZ26" i="7"/>
  <c r="AX26" i="7"/>
  <c r="AV26" i="7"/>
  <c r="AT26" i="7"/>
  <c r="AR26" i="7"/>
  <c r="BN25" i="7"/>
  <c r="BL25" i="7"/>
  <c r="BJ25" i="7"/>
  <c r="BH25" i="7"/>
  <c r="BD25" i="7"/>
  <c r="BB25" i="7"/>
  <c r="AZ25" i="7"/>
  <c r="AV25" i="7"/>
  <c r="AT25" i="7"/>
  <c r="AR25" i="7"/>
  <c r="BM24" i="7"/>
  <c r="BK24" i="7"/>
  <c r="BI24" i="7"/>
  <c r="BG24" i="7"/>
  <c r="BE24" i="7"/>
  <c r="BC24" i="7"/>
  <c r="BA24" i="7"/>
  <c r="AY24" i="7"/>
  <c r="AW24" i="7"/>
  <c r="AU24" i="7"/>
  <c r="AS24" i="7"/>
  <c r="AQ24" i="7"/>
  <c r="BL24" i="7" l="1"/>
  <c r="CJ29" i="7"/>
  <c r="CK29" i="7" s="1"/>
  <c r="CJ32" i="7"/>
  <c r="CK32" i="7" s="1"/>
  <c r="CJ54" i="7"/>
  <c r="CK54" i="7" s="1"/>
  <c r="CJ33" i="7"/>
  <c r="CK33" i="7" s="1"/>
  <c r="CL33" i="7" s="1"/>
  <c r="CH35" i="7"/>
  <c r="CJ35" i="7" s="1"/>
  <c r="CK35" i="7" s="1"/>
  <c r="CH57" i="7"/>
  <c r="CJ57" i="7" s="1"/>
  <c r="CK57" i="7" s="1"/>
  <c r="CH55" i="7"/>
  <c r="CH51" i="7"/>
  <c r="CH38" i="7"/>
  <c r="CH36" i="7"/>
  <c r="CH39" i="7"/>
  <c r="CH43" i="7"/>
  <c r="CJ43" i="7" s="1"/>
  <c r="CK43" i="7" s="1"/>
  <c r="CL43" i="7" s="1"/>
  <c r="CH60" i="7"/>
  <c r="CJ60" i="7" s="1"/>
  <c r="CK60" i="7" s="1"/>
  <c r="CL60" i="7" s="1"/>
  <c r="CH44" i="7"/>
  <c r="CJ44" i="7" s="1"/>
  <c r="CK44" i="7" s="1"/>
  <c r="CL44" i="7" s="1"/>
  <c r="CH53" i="7"/>
  <c r="CH28" i="7"/>
  <c r="CJ28" i="7" s="1"/>
  <c r="CK28" i="7" s="1"/>
  <c r="CL28" i="7" s="1"/>
  <c r="CH50" i="7"/>
  <c r="CJ50" i="7" s="1"/>
  <c r="CK50" i="7" s="1"/>
  <c r="CH40" i="7"/>
  <c r="CH30" i="7"/>
  <c r="CH42" i="7"/>
  <c r="CJ42" i="7" s="1"/>
  <c r="CK42" i="7" s="1"/>
  <c r="CL42" i="7" s="1"/>
  <c r="CH47" i="7"/>
  <c r="CH34" i="7"/>
  <c r="CH48" i="7"/>
  <c r="CJ48" i="7" s="1"/>
  <c r="CK48" i="7" s="1"/>
  <c r="CH46" i="7"/>
  <c r="CH24" i="8"/>
  <c r="CJ25" i="8"/>
  <c r="CH31" i="7"/>
  <c r="CH56" i="7"/>
  <c r="CJ56" i="7" s="1"/>
  <c r="CK56" i="7" s="1"/>
  <c r="CH61" i="7"/>
  <c r="CJ61" i="7" s="1"/>
  <c r="CK61" i="7" s="1"/>
  <c r="CL61" i="7" s="1"/>
  <c r="CH59" i="7"/>
  <c r="CJ59" i="7" s="1"/>
  <c r="CK59" i="7" s="1"/>
  <c r="BB24" i="7"/>
  <c r="AX24" i="7"/>
  <c r="BF24" i="7"/>
  <c r="BD24" i="7"/>
  <c r="AZ24" i="7"/>
  <c r="BN24" i="7"/>
  <c r="BH24" i="7"/>
  <c r="BJ24" i="7"/>
  <c r="AR24" i="7"/>
  <c r="AV24" i="7"/>
  <c r="AT24" i="7"/>
  <c r="AE71" i="7"/>
  <c r="AI71" i="7"/>
  <c r="AM71" i="7"/>
  <c r="CD71" i="7"/>
  <c r="AH71" i="7"/>
  <c r="CB71" i="7"/>
  <c r="AF71" i="7"/>
  <c r="AJ71" i="7"/>
  <c r="AN71" i="7"/>
  <c r="CF71" i="7"/>
  <c r="AG71" i="7"/>
  <c r="AK71" i="7"/>
  <c r="BZ71" i="7"/>
  <c r="BR24" i="7"/>
  <c r="BP24" i="7"/>
  <c r="CJ24" i="8" l="1"/>
  <c r="CK25" i="8"/>
  <c r="AO71" i="7"/>
  <c r="AL71" i="7"/>
  <c r="AP71" i="7" s="1"/>
  <c r="CK24" i="8" l="1"/>
  <c r="CL25" i="8"/>
  <c r="CL24" i="8" s="1"/>
  <c r="CJ71" i="7"/>
  <c r="CK71" i="7" s="1"/>
  <c r="CL71" i="7" s="1"/>
  <c r="BX62" i="7" l="1"/>
  <c r="BV62" i="7"/>
  <c r="BT62" i="7"/>
  <c r="CJ62" i="7" s="1"/>
  <c r="BX55" i="7"/>
  <c r="BV55" i="7"/>
  <c r="BT55" i="7"/>
  <c r="BX53" i="7"/>
  <c r="BV53" i="7"/>
  <c r="BT53" i="7"/>
  <c r="BX51" i="7"/>
  <c r="BV51" i="7"/>
  <c r="BT51" i="7"/>
  <c r="BX49" i="7"/>
  <c r="BV49" i="7"/>
  <c r="BT49" i="7"/>
  <c r="CJ49" i="7" s="1"/>
  <c r="CK49" i="7" s="1"/>
  <c r="BX47" i="7"/>
  <c r="BV47" i="7"/>
  <c r="BT47" i="7"/>
  <c r="CC46" i="7"/>
  <c r="BX46" i="7"/>
  <c r="BV46" i="7"/>
  <c r="BT46" i="7"/>
  <c r="BX45" i="7"/>
  <c r="BV45" i="7"/>
  <c r="BT45" i="7"/>
  <c r="BX41" i="7"/>
  <c r="BV41" i="7"/>
  <c r="BT41" i="7"/>
  <c r="BX40" i="7"/>
  <c r="BV40" i="7"/>
  <c r="BT40" i="7"/>
  <c r="CJ40" i="7" s="1"/>
  <c r="CK40" i="7" s="1"/>
  <c r="BX39" i="7"/>
  <c r="BV39" i="7"/>
  <c r="BT39" i="7"/>
  <c r="BX38" i="7"/>
  <c r="BV38" i="7"/>
  <c r="BT38" i="7"/>
  <c r="BX37" i="7"/>
  <c r="BV37" i="7"/>
  <c r="BT37" i="7"/>
  <c r="BX36" i="7"/>
  <c r="BV36" i="7"/>
  <c r="BT36" i="7"/>
  <c r="CJ36" i="7" s="1"/>
  <c r="CK36" i="7" s="1"/>
  <c r="BX34" i="7"/>
  <c r="BV34" i="7"/>
  <c r="BT34" i="7"/>
  <c r="BX31" i="7"/>
  <c r="BV31" i="7"/>
  <c r="BT31" i="7"/>
  <c r="BX30" i="7"/>
  <c r="BV30" i="7"/>
  <c r="BT30" i="7"/>
  <c r="BX27" i="7"/>
  <c r="BV27" i="7"/>
  <c r="BT27" i="7"/>
  <c r="H27" i="7"/>
  <c r="BX26" i="7"/>
  <c r="BV26" i="7"/>
  <c r="BT26" i="7"/>
  <c r="BX25" i="7"/>
  <c r="BV25" i="7"/>
  <c r="BT25" i="7"/>
  <c r="AD25" i="7"/>
  <c r="AC25" i="7"/>
  <c r="X25" i="7"/>
  <c r="W25" i="7"/>
  <c r="H25" i="7"/>
  <c r="CI24" i="7"/>
  <c r="CG24" i="7"/>
  <c r="CA24" i="7"/>
  <c r="BY24" i="7"/>
  <c r="BW24" i="7"/>
  <c r="BU24" i="7"/>
  <c r="BS24" i="7"/>
  <c r="AB24" i="7"/>
  <c r="AA24" i="7"/>
  <c r="Z24" i="7"/>
  <c r="Y24" i="7"/>
  <c r="V24" i="7"/>
  <c r="U24" i="7"/>
  <c r="T24" i="7"/>
  <c r="S24" i="7"/>
  <c r="R24" i="7"/>
  <c r="Q24" i="7"/>
  <c r="P24" i="7"/>
  <c r="O24" i="7"/>
  <c r="N24" i="7"/>
  <c r="M24" i="7"/>
  <c r="L24" i="7"/>
  <c r="X8" i="7" s="1"/>
  <c r="K24" i="7"/>
  <c r="X7" i="7" s="1"/>
  <c r="CJ30" i="7" l="1"/>
  <c r="CK30" i="7" s="1"/>
  <c r="CJ37" i="7"/>
  <c r="CK37" i="7" s="1"/>
  <c r="CJ41" i="7"/>
  <c r="CK41" i="7" s="1"/>
  <c r="CJ51" i="7"/>
  <c r="CK51" i="7" s="1"/>
  <c r="CC24" i="7"/>
  <c r="CD46" i="7"/>
  <c r="CE25" i="7"/>
  <c r="CE24" i="7" s="1"/>
  <c r="CJ34" i="7"/>
  <c r="CK34" i="7" s="1"/>
  <c r="CJ39" i="7"/>
  <c r="CK39" i="7" s="1"/>
  <c r="CJ46" i="7"/>
  <c r="CK46" i="7" s="1"/>
  <c r="CJ47" i="7"/>
  <c r="CK47" i="7" s="1"/>
  <c r="CJ55" i="7"/>
  <c r="CK55" i="7" s="1"/>
  <c r="CJ31" i="7"/>
  <c r="CK31" i="7" s="1"/>
  <c r="CJ38" i="7"/>
  <c r="CK38" i="7" s="1"/>
  <c r="CJ45" i="7"/>
  <c r="CK45" i="7" s="1"/>
  <c r="CJ53" i="7"/>
  <c r="CK53" i="7" s="1"/>
  <c r="AE27" i="7"/>
  <c r="CF27" i="7"/>
  <c r="AG27" i="7"/>
  <c r="AK27" i="7"/>
  <c r="AN27" i="7"/>
  <c r="AJ27" i="7"/>
  <c r="AH27" i="7"/>
  <c r="AM27" i="7"/>
  <c r="AI27" i="7"/>
  <c r="AF27" i="7"/>
  <c r="AJ25" i="7"/>
  <c r="AE25" i="7"/>
  <c r="BV24" i="7"/>
  <c r="AC24" i="7"/>
  <c r="Z7" i="7" s="1"/>
  <c r="BZ46" i="7"/>
  <c r="CB46" i="7"/>
  <c r="CL46" i="7" s="1"/>
  <c r="CB56" i="7"/>
  <c r="BZ56" i="7"/>
  <c r="AF25" i="7"/>
  <c r="CD27" i="7"/>
  <c r="CB27" i="7"/>
  <c r="BZ27" i="7"/>
  <c r="W24" i="7"/>
  <c r="Y7" i="7" s="1"/>
  <c r="BX24" i="7"/>
  <c r="CD17" i="7"/>
  <c r="CE17" i="7" s="1"/>
  <c r="X24" i="7"/>
  <c r="Y8" i="7" s="1"/>
  <c r="AB8" i="7" s="1"/>
  <c r="BT24" i="7"/>
  <c r="BZ47" i="7"/>
  <c r="CB47" i="7"/>
  <c r="BZ49" i="7"/>
  <c r="CB49" i="7"/>
  <c r="CB51" i="7"/>
  <c r="AM25" i="7"/>
  <c r="CB25" i="7"/>
  <c r="CD25" i="7"/>
  <c r="CF25" i="7"/>
  <c r="BZ25" i="7"/>
  <c r="BZ31" i="7"/>
  <c r="CB31" i="7"/>
  <c r="BZ37" i="7"/>
  <c r="CB37" i="7"/>
  <c r="BZ54" i="7"/>
  <c r="CB54" i="7"/>
  <c r="CD62" i="7"/>
  <c r="BZ62" i="7"/>
  <c r="CB62" i="7"/>
  <c r="AD24" i="7"/>
  <c r="Z8" i="7" s="1"/>
  <c r="AN25" i="7"/>
  <c r="AG25" i="7"/>
  <c r="AK25" i="7"/>
  <c r="H26" i="7"/>
  <c r="AH25" i="7"/>
  <c r="AI25" i="7"/>
  <c r="CL54" i="7" l="1"/>
  <c r="CL31" i="7"/>
  <c r="CL49" i="7"/>
  <c r="AO27" i="7"/>
  <c r="AL27" i="7"/>
  <c r="AP27" i="7" s="1"/>
  <c r="CH27" i="7" s="1"/>
  <c r="CJ27" i="7" s="1"/>
  <c r="CK27" i="7" s="1"/>
  <c r="CL27" i="7" s="1"/>
  <c r="AE26" i="7"/>
  <c r="CF26" i="7"/>
  <c r="AG26" i="7"/>
  <c r="AK26" i="7"/>
  <c r="AN26" i="7"/>
  <c r="AF26" i="7"/>
  <c r="AH26" i="7"/>
  <c r="AM26" i="7"/>
  <c r="AI26" i="7"/>
  <c r="AJ26" i="7"/>
  <c r="CL37" i="7"/>
  <c r="CL51" i="7"/>
  <c r="CL47" i="7"/>
  <c r="CL56" i="7"/>
  <c r="AO25" i="7"/>
  <c r="BZ59" i="7"/>
  <c r="CB59" i="7"/>
  <c r="CD59" i="7"/>
  <c r="CB29" i="7"/>
  <c r="BZ29" i="7"/>
  <c r="BZ35" i="7"/>
  <c r="CB35" i="7"/>
  <c r="BZ57" i="7"/>
  <c r="CB57" i="7"/>
  <c r="CB36" i="7"/>
  <c r="BZ36" i="7"/>
  <c r="CB32" i="7"/>
  <c r="BZ32" i="7"/>
  <c r="BZ41" i="7"/>
  <c r="CL41" i="7" s="1"/>
  <c r="BZ53" i="7"/>
  <c r="CB53" i="7"/>
  <c r="CL53" i="7" s="1"/>
  <c r="BZ39" i="7"/>
  <c r="CB39" i="7"/>
  <c r="CL39" i="7" s="1"/>
  <c r="CB45" i="7"/>
  <c r="BZ45" i="7"/>
  <c r="BZ50" i="7"/>
  <c r="CB50" i="7"/>
  <c r="CB48" i="7"/>
  <c r="BZ48" i="7"/>
  <c r="BZ38" i="7"/>
  <c r="CB38" i="7"/>
  <c r="CL38" i="7" s="1"/>
  <c r="BZ34" i="7"/>
  <c r="CB34" i="7"/>
  <c r="CB55" i="7"/>
  <c r="BZ55" i="7"/>
  <c r="CB40" i="7"/>
  <c r="BZ40" i="7"/>
  <c r="BZ30" i="7"/>
  <c r="CB30" i="7"/>
  <c r="CD26" i="7"/>
  <c r="BZ26" i="7"/>
  <c r="CB26" i="7"/>
  <c r="AL25" i="7"/>
  <c r="CL57" i="7" l="1"/>
  <c r="AO26" i="7"/>
  <c r="CL59" i="7"/>
  <c r="CL50" i="7"/>
  <c r="CL35" i="7"/>
  <c r="CL30" i="7"/>
  <c r="AL26" i="7"/>
  <c r="AP26" i="7" s="1"/>
  <c r="CL34" i="7"/>
  <c r="CL36" i="7"/>
  <c r="CL55" i="7"/>
  <c r="CL40" i="7"/>
  <c r="CL48" i="7"/>
  <c r="CL45" i="7"/>
  <c r="CL32" i="7"/>
  <c r="CL29" i="7"/>
  <c r="BZ24" i="7"/>
  <c r="AP25" i="7"/>
  <c r="CH25" i="7" s="1"/>
  <c r="CJ25" i="7" s="1"/>
  <c r="CB24" i="7"/>
  <c r="CF24" i="7"/>
  <c r="CD24" i="7"/>
  <c r="CK62" i="7"/>
  <c r="CL62" i="7" s="1"/>
  <c r="AK24" i="7"/>
  <c r="AI24" i="7"/>
  <c r="AE24" i="7"/>
  <c r="AH24" i="7"/>
  <c r="AM24" i="7"/>
  <c r="AF24" i="7"/>
  <c r="AN24" i="7"/>
  <c r="AG24" i="7"/>
  <c r="AJ24" i="7"/>
  <c r="CH26" i="7" l="1"/>
  <c r="CJ26" i="7" s="1"/>
  <c r="CK26" i="7" s="1"/>
  <c r="CL26" i="7" s="1"/>
  <c r="AL24" i="7"/>
  <c r="AO24" i="7"/>
  <c r="AP24" i="7" l="1"/>
  <c r="CH24" i="7"/>
  <c r="CK25" i="7"/>
  <c r="CL25" i="7" s="1"/>
  <c r="CJ24" i="7" l="1"/>
  <c r="CL24" i="7"/>
  <c r="CK24" i="7"/>
</calcChain>
</file>

<file path=xl/sharedStrings.xml><?xml version="1.0" encoding="utf-8"?>
<sst xmlns="http://schemas.openxmlformats.org/spreadsheetml/2006/main" count="556" uniqueCount="169">
  <si>
    <t>№ п/п</t>
  </si>
  <si>
    <t>Показатели на начало уч. года</t>
  </si>
  <si>
    <t>1-4</t>
  </si>
  <si>
    <t>5-9</t>
  </si>
  <si>
    <t>10-11</t>
  </si>
  <si>
    <t>Всего</t>
  </si>
  <si>
    <t>1</t>
  </si>
  <si>
    <t>Число классов на 1 сентября</t>
  </si>
  <si>
    <t>"Утверждаю"</t>
  </si>
  <si>
    <t>2</t>
  </si>
  <si>
    <t>Число кл.-компл. на 1 сентября</t>
  </si>
  <si>
    <t>3</t>
  </si>
  <si>
    <t>Число учащихся на 1 сентября</t>
  </si>
  <si>
    <t>4</t>
  </si>
  <si>
    <t>Общее число часов преподавательской</t>
  </si>
  <si>
    <t>работы в нед. по тарификации, в т.ч.</t>
  </si>
  <si>
    <t>ТАРИФИКАЦИОННЫЙ СПИСОК</t>
  </si>
  <si>
    <t>а)</t>
  </si>
  <si>
    <t>число часов по уч.плану</t>
  </si>
  <si>
    <t>б)</t>
  </si>
  <si>
    <t>дополнительных часов</t>
  </si>
  <si>
    <t>из них:</t>
  </si>
  <si>
    <t>в связи с делением класса на группы</t>
  </si>
  <si>
    <t>при проведении занятий по:</t>
  </si>
  <si>
    <t>иностранному языку</t>
  </si>
  <si>
    <t>Адрес школы</t>
  </si>
  <si>
    <t>трудовому обучению</t>
  </si>
  <si>
    <t>информатике</t>
  </si>
  <si>
    <t>казахский язык в русских школах</t>
  </si>
  <si>
    <t>(город, район, село)</t>
  </si>
  <si>
    <t>русскому языку в сельских нацио-</t>
  </si>
  <si>
    <t>нальных школах</t>
  </si>
  <si>
    <t>Фамилия, имя и отчество</t>
  </si>
  <si>
    <t>Предмет</t>
  </si>
  <si>
    <t>Образование</t>
  </si>
  <si>
    <t>Стаж, (год, месяц)</t>
  </si>
  <si>
    <t>Разряд / категория</t>
  </si>
  <si>
    <t>ставка, оклад</t>
  </si>
  <si>
    <t>Ставка с учетом повышения (25%)</t>
  </si>
  <si>
    <t>Число часов в неделю</t>
  </si>
  <si>
    <t>Заработная плата в месяц</t>
  </si>
  <si>
    <t>Итого заработной платы по часам</t>
  </si>
  <si>
    <t>Доплата за проверку тетрадей</t>
  </si>
  <si>
    <t>классное руководство</t>
  </si>
  <si>
    <t>доплата за углубленное изучение каз. и рус. язык</t>
  </si>
  <si>
    <t>другие доплаты</t>
  </si>
  <si>
    <t>Итого по доплатам</t>
  </si>
  <si>
    <t>0 класс</t>
  </si>
  <si>
    <t>1-4 класс</t>
  </si>
  <si>
    <t>5 класс</t>
  </si>
  <si>
    <t>6 класс</t>
  </si>
  <si>
    <t>7 класс</t>
  </si>
  <si>
    <t>8 класс</t>
  </si>
  <si>
    <t>9 класс</t>
  </si>
  <si>
    <t>5-9 класс</t>
  </si>
  <si>
    <t>10 класс</t>
  </si>
  <si>
    <t>11 класс</t>
  </si>
  <si>
    <t>10-11 класс</t>
  </si>
  <si>
    <t>1-4 классы</t>
  </si>
  <si>
    <t>5-9 классы</t>
  </si>
  <si>
    <t>10-11      классы</t>
  </si>
  <si>
    <t>наполняемость                               (50 / 100%)</t>
  </si>
  <si>
    <t>30%</t>
  </si>
  <si>
    <t>25%</t>
  </si>
  <si>
    <t>количество часов</t>
  </si>
  <si>
    <t>25%    1-4 кл.</t>
  </si>
  <si>
    <t>25%    5-11 кл.</t>
  </si>
  <si>
    <t>кабинет</t>
  </si>
  <si>
    <t>базовые часы</t>
  </si>
  <si>
    <t>занятия по выбору</t>
  </si>
  <si>
    <t>кол.-во часов</t>
  </si>
  <si>
    <t>20%</t>
  </si>
  <si>
    <t>кол.-во</t>
  </si>
  <si>
    <t>ИТОГО:</t>
  </si>
  <si>
    <t>Всего заработной платы, только МБ</t>
  </si>
  <si>
    <t>Всего заработной платы,  МБ+РБ</t>
  </si>
  <si>
    <t>самопознание</t>
  </si>
  <si>
    <t>высш</t>
  </si>
  <si>
    <t>надбавка 10% от ДО</t>
  </si>
  <si>
    <t>руководитель  ОО:                                  Уаисов Ж.У.</t>
  </si>
  <si>
    <t>Игликская СШ</t>
  </si>
  <si>
    <t>Акмолинская область, Зерендинский район, село Иглик</t>
  </si>
  <si>
    <t>жоғары</t>
  </si>
  <si>
    <t>математика</t>
  </si>
  <si>
    <t>биология</t>
  </si>
  <si>
    <t>химия</t>
  </si>
  <si>
    <t>тарих</t>
  </si>
  <si>
    <t>музыка</t>
  </si>
  <si>
    <t>физика</t>
  </si>
  <si>
    <t>НВП</t>
  </si>
  <si>
    <t>қазақ тілі</t>
  </si>
  <si>
    <t>география</t>
  </si>
  <si>
    <t>В2-2</t>
  </si>
  <si>
    <t>В2-4</t>
  </si>
  <si>
    <t>В2-3</t>
  </si>
  <si>
    <t>В4-4</t>
  </si>
  <si>
    <t>В2-1</t>
  </si>
  <si>
    <t>В4-3</t>
  </si>
  <si>
    <t>орыс тілі</t>
  </si>
  <si>
    <t>шахмат</t>
  </si>
  <si>
    <t>Уалиева Алма  Октябрьқызы</t>
  </si>
  <si>
    <t>Маймышева Салима Қазиқызы</t>
  </si>
  <si>
    <t>Егубаева Гульзат Кожековна</t>
  </si>
  <si>
    <t>Искакова Асемгуль Галимжановна</t>
  </si>
  <si>
    <t>Муталлапова Қымбат Орынбаевна</t>
  </si>
  <si>
    <t>Уалиев Биржан Кабдоллинович</t>
  </si>
  <si>
    <t>абайтану</t>
  </si>
  <si>
    <t>Нұғыманова Ұлпан Құлановна</t>
  </si>
  <si>
    <t>Ташмағанбетова Жанар Садуовна</t>
  </si>
  <si>
    <t>Абуова Айнагуль Алихановна</t>
  </si>
  <si>
    <t>Салимова Жанар Кабдуалиевна</t>
  </si>
  <si>
    <t>Сейтқожа Думан Ерлікұлы</t>
  </si>
  <si>
    <t>Кабдушева Майра Жанибековна</t>
  </si>
  <si>
    <t>0 класс/русс</t>
  </si>
  <si>
    <t>ОБНОВЛЕНКА</t>
  </si>
  <si>
    <t>30</t>
  </si>
  <si>
    <t>ср.сп</t>
  </si>
  <si>
    <t xml:space="preserve">технология </t>
  </si>
  <si>
    <t xml:space="preserve">физ-ра </t>
  </si>
  <si>
    <t xml:space="preserve">Хасенова Гуль даулетхановна </t>
  </si>
  <si>
    <t>Гл.экономист</t>
  </si>
  <si>
    <t>Сумская А.А.</t>
  </si>
  <si>
    <t>педагог исследователь</t>
  </si>
  <si>
    <t>40%</t>
  </si>
  <si>
    <t>педагог эксперт</t>
  </si>
  <si>
    <t>35%</t>
  </si>
  <si>
    <t xml:space="preserve">педагог модератор </t>
  </si>
  <si>
    <t>бизнес</t>
  </si>
  <si>
    <t>матем</t>
  </si>
  <si>
    <t>Муталапова Динара Кайргельдиевна</t>
  </si>
  <si>
    <t>Сейткожа Г</t>
  </si>
  <si>
    <t>информатика/работ</t>
  </si>
  <si>
    <t>2 класс</t>
  </si>
  <si>
    <t>Тулегенова  Н.Б</t>
  </si>
  <si>
    <t>Учителей и работников на 1  сентября  2020г.</t>
  </si>
  <si>
    <t>50%</t>
  </si>
  <si>
    <t>60% 5-12 кл</t>
  </si>
  <si>
    <t>50% 1-4 кл</t>
  </si>
  <si>
    <t xml:space="preserve">АЙТИ КЛАСС </t>
  </si>
  <si>
    <t>Молдахметов М Ж</t>
  </si>
  <si>
    <t xml:space="preserve">1класс </t>
  </si>
  <si>
    <t>3 класс</t>
  </si>
  <si>
    <t>4 кл</t>
  </si>
  <si>
    <t xml:space="preserve">высший </t>
  </si>
  <si>
    <t>Утельбаева  А Н</t>
  </si>
  <si>
    <t>дінтану религ</t>
  </si>
  <si>
    <t>Вакансия</t>
  </si>
  <si>
    <t xml:space="preserve">английский  </t>
  </si>
  <si>
    <t>анг.яз</t>
  </si>
  <si>
    <t xml:space="preserve">наствничество </t>
  </si>
  <si>
    <t xml:space="preserve">Директор  школы </t>
  </si>
  <si>
    <t>организационные моменты</t>
  </si>
  <si>
    <t>Егубаева Г. К.</t>
  </si>
  <si>
    <t>Учителей и работников на 1   января  2021г.</t>
  </si>
  <si>
    <t>худ труд</t>
  </si>
  <si>
    <t>СОГЛАСОВАНО</t>
  </si>
  <si>
    <t>"Согласовано"</t>
  </si>
  <si>
    <t>" Утверждаю"</t>
  </si>
  <si>
    <t>Руководитель ГУ "Управления</t>
  </si>
  <si>
    <t xml:space="preserve">и.о.руководителя ГУ " Отдел образования </t>
  </si>
  <si>
    <t>Директор " КГУ"</t>
  </si>
  <si>
    <t>образования Акмолинской области"</t>
  </si>
  <si>
    <t>Зерендинского района"</t>
  </si>
  <si>
    <t>____________________ Жусупов Б.А.</t>
  </si>
  <si>
    <t>_______________</t>
  </si>
  <si>
    <t>Рахимжанов Н.С.</t>
  </si>
  <si>
    <t>высшая</t>
  </si>
  <si>
    <t>села Игилик отдела образования по Зерендинскому району управления образования  Акмолинской области»</t>
  </si>
  <si>
    <r>
      <rPr>
        <sz val="14"/>
        <color theme="1"/>
        <rFont val="Times New Roman"/>
        <family val="1"/>
        <charset val="204"/>
      </rPr>
      <t>Коммунальное государственное учреждение «Общеобразовательная школа</t>
    </r>
    <r>
      <rPr>
        <b/>
        <sz val="14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</si>
</sst>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Garamond"/>
      <family val="1"/>
      <charset val="204"/>
    </font>
    <font>
      <b/>
      <sz val="10"/>
      <name val="Garamond"/>
      <family val="1"/>
      <charset val="204"/>
    </font>
    <font>
      <sz val="12"/>
      <name val="Garamond"/>
      <family val="1"/>
      <charset val="204"/>
    </font>
    <font>
      <b/>
      <sz val="12"/>
      <name val="Garamond"/>
      <family val="1"/>
      <charset val="204"/>
    </font>
    <font>
      <sz val="9"/>
      <name val="Garamond"/>
      <family val="1"/>
      <charset val="204"/>
    </font>
    <font>
      <b/>
      <sz val="16"/>
      <name val="Garamond"/>
      <family val="1"/>
      <charset val="204"/>
    </font>
    <font>
      <sz val="14"/>
      <name val="Garamond"/>
      <family val="1"/>
      <charset val="204"/>
    </font>
    <font>
      <u/>
      <sz val="12"/>
      <name val="Garamond"/>
      <family val="1"/>
      <charset val="204"/>
    </font>
    <font>
      <sz val="12"/>
      <name val="Arial Cyr"/>
      <charset val="204"/>
    </font>
    <font>
      <sz val="10"/>
      <color indexed="10"/>
      <name val="Garamond"/>
      <family val="1"/>
      <charset val="204"/>
    </font>
    <font>
      <sz val="10"/>
      <color rgb="FFFF0000"/>
      <name val="Garamond"/>
      <family val="1"/>
      <charset val="204"/>
    </font>
    <font>
      <sz val="10"/>
      <color theme="1"/>
      <name val="Garamond"/>
      <family val="1"/>
      <charset val="204"/>
    </font>
    <font>
      <sz val="10"/>
      <color indexed="8"/>
      <name val="Garamond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Garamond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Garamond"/>
      <family val="1"/>
      <charset val="204"/>
    </font>
    <font>
      <b/>
      <sz val="10"/>
      <name val="Garamond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283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49" fontId="1" fillId="0" borderId="5" xfId="0" applyNumberFormat="1" applyFont="1" applyBorder="1" applyAlignment="1">
      <alignment horizontal="center" vertical="center"/>
    </xf>
    <xf numFmtId="0" fontId="5" fillId="0" borderId="0" xfId="0" applyFont="1" applyBorder="1"/>
    <xf numFmtId="0" fontId="1" fillId="0" borderId="0" xfId="0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1" fillId="0" borderId="8" xfId="0" applyNumberFormat="1" applyFont="1" applyBorder="1"/>
    <xf numFmtId="0" fontId="2" fillId="0" borderId="0" xfId="0" applyFont="1"/>
    <xf numFmtId="0" fontId="4" fillId="0" borderId="0" xfId="0" applyFont="1"/>
    <xf numFmtId="0" fontId="5" fillId="0" borderId="9" xfId="0" applyFont="1" applyBorder="1"/>
    <xf numFmtId="0" fontId="1" fillId="0" borderId="9" xfId="0" applyFont="1" applyBorder="1"/>
    <xf numFmtId="2" fontId="1" fillId="0" borderId="10" xfId="0" applyNumberFormat="1" applyFont="1" applyBorder="1"/>
    <xf numFmtId="2" fontId="1" fillId="0" borderId="11" xfId="0" applyNumberFormat="1" applyFont="1" applyBorder="1"/>
    <xf numFmtId="2" fontId="1" fillId="0" borderId="12" xfId="0" applyNumberFormat="1" applyFont="1" applyBorder="1"/>
    <xf numFmtId="2" fontId="1" fillId="0" borderId="13" xfId="0" applyNumberFormat="1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14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2" fontId="1" fillId="0" borderId="15" xfId="0" applyNumberFormat="1" applyFont="1" applyBorder="1"/>
    <xf numFmtId="2" fontId="1" fillId="0" borderId="9" xfId="0" applyNumberFormat="1" applyFont="1" applyBorder="1"/>
    <xf numFmtId="49" fontId="1" fillId="0" borderId="16" xfId="0" applyNumberFormat="1" applyFont="1" applyBorder="1" applyAlignment="1">
      <alignment horizontal="center" vertical="center"/>
    </xf>
    <xf numFmtId="0" fontId="5" fillId="0" borderId="17" xfId="0" applyFont="1" applyBorder="1"/>
    <xf numFmtId="0" fontId="1" fillId="0" borderId="17" xfId="0" applyFont="1" applyBorder="1"/>
    <xf numFmtId="2" fontId="1" fillId="0" borderId="18" xfId="0" applyNumberFormat="1" applyFont="1" applyBorder="1"/>
    <xf numFmtId="2" fontId="1" fillId="0" borderId="19" xfId="0" applyNumberFormat="1" applyFont="1" applyBorder="1"/>
    <xf numFmtId="2" fontId="1" fillId="0" borderId="17" xfId="0" applyNumberFormat="1" applyFont="1" applyBorder="1"/>
    <xf numFmtId="0" fontId="1" fillId="2" borderId="3" xfId="0" applyFont="1" applyFill="1" applyBorder="1" applyAlignment="1">
      <alignment horizontal="center" textRotation="90" wrapText="1"/>
    </xf>
    <xf numFmtId="0" fontId="1" fillId="2" borderId="16" xfId="0" applyFont="1" applyFill="1" applyBorder="1" applyAlignment="1">
      <alignment horizontal="center" textRotation="90" wrapText="1"/>
    </xf>
    <xf numFmtId="0" fontId="1" fillId="2" borderId="0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textRotation="90" wrapText="1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1" fillId="0" borderId="43" xfId="0" applyNumberFormat="1" applyFont="1" applyBorder="1"/>
    <xf numFmtId="2" fontId="1" fillId="0" borderId="44" xfId="0" applyNumberFormat="1" applyFont="1" applyBorder="1"/>
    <xf numFmtId="2" fontId="1" fillId="0" borderId="0" xfId="0" applyNumberFormat="1" applyFont="1" applyBorder="1"/>
    <xf numFmtId="0" fontId="12" fillId="2" borderId="23" xfId="0" applyFont="1" applyFill="1" applyBorder="1" applyAlignment="1">
      <alignment horizontal="center" vertical="center" wrapText="1"/>
    </xf>
    <xf numFmtId="4" fontId="10" fillId="5" borderId="6" xfId="0" applyNumberFormat="1" applyFont="1" applyFill="1" applyBorder="1" applyProtection="1"/>
    <xf numFmtId="4" fontId="1" fillId="5" borderId="45" xfId="0" applyNumberFormat="1" applyFont="1" applyFill="1" applyBorder="1" applyProtection="1">
      <protection locked="0"/>
    </xf>
    <xf numFmtId="3" fontId="10" fillId="5" borderId="6" xfId="0" applyNumberFormat="1" applyFont="1" applyFill="1" applyBorder="1"/>
    <xf numFmtId="0" fontId="0" fillId="5" borderId="10" xfId="0" applyFill="1" applyBorder="1"/>
    <xf numFmtId="4" fontId="1" fillId="5" borderId="48" xfId="0" applyNumberFormat="1" applyFont="1" applyFill="1" applyBorder="1" applyProtection="1">
      <protection locked="0"/>
    </xf>
    <xf numFmtId="0" fontId="1" fillId="5" borderId="45" xfId="0" applyFont="1" applyFill="1" applyBorder="1" applyAlignment="1" applyProtection="1">
      <alignment horizontal="right"/>
      <protection locked="0"/>
    </xf>
    <xf numFmtId="0" fontId="1" fillId="5" borderId="45" xfId="0" applyFont="1" applyFill="1" applyBorder="1" applyProtection="1">
      <protection locked="0"/>
    </xf>
    <xf numFmtId="0" fontId="1" fillId="5" borderId="45" xfId="0" applyFont="1" applyFill="1" applyBorder="1" applyAlignment="1" applyProtection="1">
      <alignment horizontal="center"/>
      <protection locked="0"/>
    </xf>
    <xf numFmtId="4" fontId="1" fillId="5" borderId="45" xfId="0" applyNumberFormat="1" applyFont="1" applyFill="1" applyBorder="1" applyAlignment="1" applyProtection="1">
      <protection locked="0"/>
    </xf>
    <xf numFmtId="3" fontId="1" fillId="5" borderId="6" xfId="0" applyNumberFormat="1" applyFont="1" applyFill="1" applyBorder="1" applyProtection="1">
      <protection locked="0"/>
    </xf>
    <xf numFmtId="4" fontId="1" fillId="5" borderId="6" xfId="0" applyNumberFormat="1" applyFont="1" applyFill="1" applyBorder="1" applyProtection="1">
      <protection locked="0"/>
    </xf>
    <xf numFmtId="164" fontId="1" fillId="5" borderId="6" xfId="0" applyNumberFormat="1" applyFont="1" applyFill="1" applyBorder="1" applyProtection="1">
      <protection locked="0"/>
    </xf>
    <xf numFmtId="3" fontId="1" fillId="5" borderId="6" xfId="0" applyNumberFormat="1" applyFont="1" applyFill="1" applyBorder="1"/>
    <xf numFmtId="4" fontId="1" fillId="5" borderId="6" xfId="0" applyNumberFormat="1" applyFont="1" applyFill="1" applyBorder="1"/>
    <xf numFmtId="3" fontId="10" fillId="5" borderId="6" xfId="0" applyNumberFormat="1" applyFont="1" applyFill="1" applyBorder="1" applyAlignment="1">
      <alignment wrapText="1"/>
    </xf>
    <xf numFmtId="0" fontId="0" fillId="5" borderId="0" xfId="0" applyFill="1"/>
    <xf numFmtId="0" fontId="13" fillId="5" borderId="45" xfId="0" applyFont="1" applyFill="1" applyBorder="1" applyAlignment="1" applyProtection="1">
      <alignment horizontal="right"/>
      <protection locked="0"/>
    </xf>
    <xf numFmtId="4" fontId="13" fillId="5" borderId="45" xfId="0" applyNumberFormat="1" applyFont="1" applyFill="1" applyBorder="1" applyAlignment="1" applyProtection="1">
      <protection locked="0"/>
    </xf>
    <xf numFmtId="4" fontId="13" fillId="5" borderId="45" xfId="0" applyNumberFormat="1" applyFont="1" applyFill="1" applyBorder="1" applyProtection="1">
      <protection locked="0"/>
    </xf>
    <xf numFmtId="4" fontId="1" fillId="5" borderId="46" xfId="0" applyNumberFormat="1" applyFont="1" applyFill="1" applyBorder="1" applyAlignment="1" applyProtection="1">
      <protection locked="0"/>
    </xf>
    <xf numFmtId="0" fontId="1" fillId="5" borderId="47" xfId="0" applyFont="1" applyFill="1" applyBorder="1" applyAlignment="1" applyProtection="1">
      <alignment horizontal="center"/>
      <protection locked="0"/>
    </xf>
    <xf numFmtId="4" fontId="1" fillId="5" borderId="10" xfId="0" applyNumberFormat="1" applyFont="1" applyFill="1" applyBorder="1" applyAlignment="1" applyProtection="1">
      <protection locked="0"/>
    </xf>
    <xf numFmtId="4" fontId="1" fillId="5" borderId="10" xfId="0" applyNumberFormat="1" applyFont="1" applyFill="1" applyBorder="1" applyProtection="1">
      <protection locked="0"/>
    </xf>
    <xf numFmtId="0" fontId="1" fillId="5" borderId="46" xfId="0" applyFont="1" applyFill="1" applyBorder="1" applyAlignment="1" applyProtection="1">
      <alignment horizontal="right"/>
      <protection locked="0"/>
    </xf>
    <xf numFmtId="0" fontId="1" fillId="5" borderId="46" xfId="0" applyFont="1" applyFill="1" applyBorder="1" applyProtection="1">
      <protection locked="0"/>
    </xf>
    <xf numFmtId="0" fontId="1" fillId="5" borderId="10" xfId="0" applyFont="1" applyFill="1" applyBorder="1" applyAlignment="1" applyProtection="1">
      <protection locked="0"/>
    </xf>
    <xf numFmtId="0" fontId="1" fillId="5" borderId="48" xfId="0" applyFont="1" applyFill="1" applyBorder="1" applyProtection="1">
      <protection locked="0"/>
    </xf>
    <xf numFmtId="0" fontId="1" fillId="5" borderId="46" xfId="0" applyFont="1" applyFill="1" applyBorder="1" applyAlignment="1" applyProtection="1">
      <alignment horizontal="center"/>
      <protection locked="0"/>
    </xf>
    <xf numFmtId="0" fontId="1" fillId="5" borderId="10" xfId="0" applyFont="1" applyFill="1" applyBorder="1" applyAlignment="1" applyProtection="1">
      <alignment horizontal="center"/>
      <protection locked="0"/>
    </xf>
    <xf numFmtId="0" fontId="12" fillId="5" borderId="45" xfId="0" applyFont="1" applyFill="1" applyBorder="1" applyProtection="1">
      <protection locked="0"/>
    </xf>
    <xf numFmtId="4" fontId="0" fillId="0" borderId="0" xfId="0" applyNumberFormat="1"/>
    <xf numFmtId="3" fontId="1" fillId="5" borderId="43" xfId="0" applyNumberFormat="1" applyFont="1" applyFill="1" applyBorder="1" applyProtection="1">
      <protection locked="0"/>
    </xf>
    <xf numFmtId="0" fontId="1" fillId="5" borderId="10" xfId="0" applyFont="1" applyFill="1" applyBorder="1" applyProtection="1">
      <protection locked="0"/>
    </xf>
    <xf numFmtId="3" fontId="1" fillId="5" borderId="10" xfId="0" applyNumberFormat="1" applyFont="1" applyFill="1" applyBorder="1" applyProtection="1">
      <protection locked="0"/>
    </xf>
    <xf numFmtId="3" fontId="10" fillId="5" borderId="10" xfId="0" applyNumberFormat="1" applyFont="1" applyFill="1" applyBorder="1"/>
    <xf numFmtId="0" fontId="1" fillId="5" borderId="10" xfId="0" applyFont="1" applyFill="1" applyBorder="1" applyAlignment="1" applyProtection="1">
      <alignment horizontal="right"/>
      <protection locked="0"/>
    </xf>
    <xf numFmtId="0" fontId="1" fillId="5" borderId="6" xfId="0" applyNumberFormat="1" applyFont="1" applyFill="1" applyBorder="1" applyProtection="1">
      <protection locked="0"/>
    </xf>
    <xf numFmtId="0" fontId="1" fillId="5" borderId="0" xfId="0" applyFont="1" applyFill="1" applyBorder="1" applyProtection="1">
      <protection locked="0"/>
    </xf>
    <xf numFmtId="0" fontId="1" fillId="5" borderId="49" xfId="0" applyFont="1" applyFill="1" applyBorder="1" applyAlignment="1" applyProtection="1">
      <alignment horizontal="center"/>
      <protection locked="0"/>
    </xf>
    <xf numFmtId="4" fontId="1" fillId="5" borderId="6" xfId="0" applyNumberFormat="1" applyFont="1" applyFill="1" applyBorder="1" applyAlignment="1" applyProtection="1">
      <protection locked="0"/>
    </xf>
    <xf numFmtId="0" fontId="1" fillId="5" borderId="11" xfId="0" applyFont="1" applyFill="1" applyBorder="1" applyAlignment="1" applyProtection="1">
      <alignment horizontal="center"/>
      <protection locked="0"/>
    </xf>
    <xf numFmtId="4" fontId="1" fillId="5" borderId="43" xfId="0" applyNumberFormat="1" applyFont="1" applyFill="1" applyBorder="1" applyAlignment="1" applyProtection="1">
      <protection locked="0"/>
    </xf>
    <xf numFmtId="49" fontId="1" fillId="6" borderId="3" xfId="0" applyNumberFormat="1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/>
    </xf>
    <xf numFmtId="0" fontId="1" fillId="5" borderId="0" xfId="0" applyFont="1" applyFill="1" applyBorder="1" applyAlignment="1" applyProtection="1">
      <alignment horizontal="center"/>
      <protection locked="0"/>
    </xf>
    <xf numFmtId="0" fontId="11" fillId="3" borderId="41" xfId="0" applyFont="1" applyFill="1" applyBorder="1"/>
    <xf numFmtId="0" fontId="11" fillId="3" borderId="41" xfId="0" applyFont="1" applyFill="1" applyBorder="1" applyAlignment="1">
      <alignment horizontal="center"/>
    </xf>
    <xf numFmtId="4" fontId="11" fillId="3" borderId="41" xfId="0" applyNumberFormat="1" applyFont="1" applyFill="1" applyBorder="1" applyAlignment="1">
      <alignment horizontal="center"/>
    </xf>
    <xf numFmtId="3" fontId="11" fillId="3" borderId="41" xfId="0" applyNumberFormat="1" applyFont="1" applyFill="1" applyBorder="1"/>
    <xf numFmtId="4" fontId="11" fillId="3" borderId="41" xfId="0" applyNumberFormat="1" applyFont="1" applyFill="1" applyBorder="1"/>
    <xf numFmtId="0" fontId="14" fillId="0" borderId="0" xfId="0" applyFont="1"/>
    <xf numFmtId="49" fontId="1" fillId="7" borderId="3" xfId="0" applyNumberFormat="1" applyFont="1" applyFill="1" applyBorder="1" applyAlignment="1">
      <alignment horizontal="center" vertical="center" textRotation="90" wrapText="1"/>
    </xf>
    <xf numFmtId="49" fontId="1" fillId="7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/>
    </xf>
    <xf numFmtId="0" fontId="13" fillId="5" borderId="45" xfId="0" applyFont="1" applyFill="1" applyBorder="1" applyProtection="1">
      <protection locked="0"/>
    </xf>
    <xf numFmtId="4" fontId="1" fillId="5" borderId="12" xfId="0" applyNumberFormat="1" applyFont="1" applyFill="1" applyBorder="1" applyAlignment="1" applyProtection="1">
      <protection locked="0"/>
    </xf>
    <xf numFmtId="0" fontId="1" fillId="5" borderId="45" xfId="0" applyFont="1" applyFill="1" applyBorder="1" applyAlignment="1" applyProtection="1">
      <alignment wrapText="1"/>
      <protection locked="0"/>
    </xf>
    <xf numFmtId="49" fontId="1" fillId="6" borderId="3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/>
    </xf>
    <xf numFmtId="3" fontId="11" fillId="5" borderId="7" xfId="0" applyNumberFormat="1" applyFont="1" applyFill="1" applyBorder="1"/>
    <xf numFmtId="4" fontId="11" fillId="3" borderId="52" xfId="0" applyNumberFormat="1" applyFont="1" applyFill="1" applyBorder="1"/>
    <xf numFmtId="164" fontId="1" fillId="5" borderId="10" xfId="0" applyNumberFormat="1" applyFont="1" applyFill="1" applyBorder="1" applyProtection="1">
      <protection locked="0"/>
    </xf>
    <xf numFmtId="4" fontId="10" fillId="5" borderId="10" xfId="0" applyNumberFormat="1" applyFont="1" applyFill="1" applyBorder="1" applyProtection="1"/>
    <xf numFmtId="4" fontId="1" fillId="5" borderId="0" xfId="0" applyNumberFormat="1" applyFont="1" applyFill="1" applyBorder="1" applyAlignment="1" applyProtection="1">
      <protection locked="0"/>
    </xf>
    <xf numFmtId="0" fontId="1" fillId="4" borderId="0" xfId="0" applyFont="1" applyFill="1" applyBorder="1" applyProtection="1">
      <protection locked="0"/>
    </xf>
    <xf numFmtId="0" fontId="1" fillId="5" borderId="53" xfId="0" applyFont="1" applyFill="1" applyBorder="1" applyAlignment="1" applyProtection="1">
      <protection locked="0"/>
    </xf>
    <xf numFmtId="0" fontId="1" fillId="5" borderId="47" xfId="0" applyFont="1" applyFill="1" applyBorder="1" applyAlignment="1" applyProtection="1">
      <alignment horizontal="right"/>
      <protection locked="0"/>
    </xf>
    <xf numFmtId="0" fontId="1" fillId="5" borderId="11" xfId="0" applyFont="1" applyFill="1" applyBorder="1" applyAlignment="1" applyProtection="1">
      <alignment horizontal="right"/>
      <protection locked="0"/>
    </xf>
    <xf numFmtId="0" fontId="1" fillId="5" borderId="12" xfId="0" applyFont="1" applyFill="1" applyBorder="1" applyProtection="1">
      <protection locked="0"/>
    </xf>
    <xf numFmtId="0" fontId="1" fillId="8" borderId="3" xfId="0" applyFont="1" applyFill="1" applyBorder="1" applyAlignment="1">
      <alignment horizontal="center"/>
    </xf>
    <xf numFmtId="4" fontId="11" fillId="8" borderId="41" xfId="0" applyNumberFormat="1" applyFont="1" applyFill="1" applyBorder="1"/>
    <xf numFmtId="0" fontId="1" fillId="4" borderId="10" xfId="0" applyFont="1" applyFill="1" applyBorder="1" applyAlignment="1" applyProtection="1">
      <alignment horizontal="center"/>
      <protection locked="0"/>
    </xf>
    <xf numFmtId="3" fontId="1" fillId="4" borderId="10" xfId="0" applyNumberFormat="1" applyFont="1" applyFill="1" applyBorder="1" applyProtection="1">
      <protection locked="0"/>
    </xf>
    <xf numFmtId="4" fontId="1" fillId="4" borderId="10" xfId="0" applyNumberFormat="1" applyFont="1" applyFill="1" applyBorder="1" applyAlignment="1" applyProtection="1">
      <protection locked="0"/>
    </xf>
    <xf numFmtId="0" fontId="1" fillId="4" borderId="10" xfId="0" applyFont="1" applyFill="1" applyBorder="1" applyProtection="1">
      <protection locked="0"/>
    </xf>
    <xf numFmtId="0" fontId="17" fillId="0" borderId="0" xfId="0" applyFont="1"/>
    <xf numFmtId="0" fontId="17" fillId="5" borderId="0" xfId="0" applyFont="1" applyFill="1" applyBorder="1"/>
    <xf numFmtId="0" fontId="18" fillId="5" borderId="0" xfId="0" applyFont="1" applyFill="1" applyBorder="1" applyProtection="1">
      <protection locked="0"/>
    </xf>
    <xf numFmtId="0" fontId="1" fillId="9" borderId="45" xfId="0" applyFont="1" applyFill="1" applyBorder="1" applyAlignment="1" applyProtection="1">
      <alignment horizontal="right"/>
      <protection locked="0"/>
    </xf>
    <xf numFmtId="0" fontId="1" fillId="9" borderId="45" xfId="0" applyFont="1" applyFill="1" applyBorder="1" applyProtection="1">
      <protection locked="0"/>
    </xf>
    <xf numFmtId="0" fontId="12" fillId="9" borderId="45" xfId="0" applyFont="1" applyFill="1" applyBorder="1" applyProtection="1">
      <protection locked="0"/>
    </xf>
    <xf numFmtId="0" fontId="1" fillId="9" borderId="45" xfId="0" applyFont="1" applyFill="1" applyBorder="1" applyAlignment="1" applyProtection="1">
      <alignment horizontal="center"/>
      <protection locked="0"/>
    </xf>
    <xf numFmtId="4" fontId="1" fillId="9" borderId="45" xfId="0" applyNumberFormat="1" applyFont="1" applyFill="1" applyBorder="1" applyAlignment="1" applyProtection="1">
      <protection locked="0"/>
    </xf>
    <xf numFmtId="3" fontId="1" fillId="9" borderId="6" xfId="0" applyNumberFormat="1" applyFont="1" applyFill="1" applyBorder="1" applyProtection="1">
      <protection locked="0"/>
    </xf>
    <xf numFmtId="3" fontId="10" fillId="9" borderId="6" xfId="0" applyNumberFormat="1" applyFont="1" applyFill="1" applyBorder="1"/>
    <xf numFmtId="4" fontId="1" fillId="9" borderId="45" xfId="0" applyNumberFormat="1" applyFont="1" applyFill="1" applyBorder="1" applyProtection="1">
      <protection locked="0"/>
    </xf>
    <xf numFmtId="4" fontId="10" fillId="9" borderId="6" xfId="0" applyNumberFormat="1" applyFont="1" applyFill="1" applyBorder="1" applyProtection="1"/>
    <xf numFmtId="4" fontId="1" fillId="9" borderId="6" xfId="0" applyNumberFormat="1" applyFont="1" applyFill="1" applyBorder="1" applyProtection="1">
      <protection locked="0"/>
    </xf>
    <xf numFmtId="164" fontId="1" fillId="9" borderId="6" xfId="0" applyNumberFormat="1" applyFont="1" applyFill="1" applyBorder="1" applyProtection="1">
      <protection locked="0"/>
    </xf>
    <xf numFmtId="3" fontId="1" fillId="9" borderId="6" xfId="0" applyNumberFormat="1" applyFont="1" applyFill="1" applyBorder="1"/>
    <xf numFmtId="4" fontId="1" fillId="9" borderId="6" xfId="0" applyNumberFormat="1" applyFont="1" applyFill="1" applyBorder="1"/>
    <xf numFmtId="3" fontId="10" fillId="9" borderId="6" xfId="0" applyNumberFormat="1" applyFont="1" applyFill="1" applyBorder="1" applyAlignment="1">
      <alignment wrapText="1"/>
    </xf>
    <xf numFmtId="3" fontId="11" fillId="9" borderId="7" xfId="0" applyNumberFormat="1" applyFont="1" applyFill="1" applyBorder="1"/>
    <xf numFmtId="0" fontId="0" fillId="9" borderId="0" xfId="0" applyFill="1"/>
    <xf numFmtId="0" fontId="1" fillId="9" borderId="10" xfId="0" applyFont="1" applyFill="1" applyBorder="1" applyAlignment="1" applyProtection="1">
      <alignment horizontal="right"/>
      <protection locked="0"/>
    </xf>
    <xf numFmtId="0" fontId="1" fillId="9" borderId="10" xfId="0" applyFont="1" applyFill="1" applyBorder="1" applyProtection="1">
      <protection locked="0"/>
    </xf>
    <xf numFmtId="0" fontId="1" fillId="9" borderId="10" xfId="0" applyFont="1" applyFill="1" applyBorder="1" applyAlignment="1" applyProtection="1">
      <alignment horizontal="center"/>
      <protection locked="0"/>
    </xf>
    <xf numFmtId="4" fontId="1" fillId="9" borderId="10" xfId="0" applyNumberFormat="1" applyFont="1" applyFill="1" applyBorder="1" applyAlignment="1" applyProtection="1">
      <protection locked="0"/>
    </xf>
    <xf numFmtId="3" fontId="1" fillId="9" borderId="10" xfId="0" applyNumberFormat="1" applyFont="1" applyFill="1" applyBorder="1" applyProtection="1">
      <protection locked="0"/>
    </xf>
    <xf numFmtId="4" fontId="1" fillId="9" borderId="48" xfId="0" applyNumberFormat="1" applyFont="1" applyFill="1" applyBorder="1" applyProtection="1">
      <protection locked="0"/>
    </xf>
    <xf numFmtId="0" fontId="1" fillId="10" borderId="45" xfId="0" applyFont="1" applyFill="1" applyBorder="1" applyAlignment="1" applyProtection="1">
      <alignment horizontal="right"/>
      <protection locked="0"/>
    </xf>
    <xf numFmtId="0" fontId="1" fillId="10" borderId="45" xfId="0" applyFont="1" applyFill="1" applyBorder="1" applyProtection="1">
      <protection locked="0"/>
    </xf>
    <xf numFmtId="0" fontId="1" fillId="10" borderId="45" xfId="0" applyFont="1" applyFill="1" applyBorder="1" applyAlignment="1" applyProtection="1">
      <alignment horizontal="center"/>
      <protection locked="0"/>
    </xf>
    <xf numFmtId="4" fontId="1" fillId="10" borderId="45" xfId="0" applyNumberFormat="1" applyFont="1" applyFill="1" applyBorder="1" applyAlignment="1" applyProtection="1">
      <protection locked="0"/>
    </xf>
    <xf numFmtId="3" fontId="1" fillId="10" borderId="6" xfId="0" applyNumberFormat="1" applyFont="1" applyFill="1" applyBorder="1" applyProtection="1">
      <protection locked="0"/>
    </xf>
    <xf numFmtId="3" fontId="10" fillId="10" borderId="6" xfId="0" applyNumberFormat="1" applyFont="1" applyFill="1" applyBorder="1"/>
    <xf numFmtId="4" fontId="1" fillId="10" borderId="45" xfId="0" applyNumberFormat="1" applyFont="1" applyFill="1" applyBorder="1" applyProtection="1">
      <protection locked="0"/>
    </xf>
    <xf numFmtId="4" fontId="10" fillId="10" borderId="6" xfId="0" applyNumberFormat="1" applyFont="1" applyFill="1" applyBorder="1" applyProtection="1"/>
    <xf numFmtId="4" fontId="1" fillId="10" borderId="6" xfId="0" applyNumberFormat="1" applyFont="1" applyFill="1" applyBorder="1" applyProtection="1">
      <protection locked="0"/>
    </xf>
    <xf numFmtId="164" fontId="1" fillId="10" borderId="6" xfId="0" applyNumberFormat="1" applyFont="1" applyFill="1" applyBorder="1" applyProtection="1">
      <protection locked="0"/>
    </xf>
    <xf numFmtId="3" fontId="1" fillId="10" borderId="6" xfId="0" applyNumberFormat="1" applyFont="1" applyFill="1" applyBorder="1"/>
    <xf numFmtId="4" fontId="1" fillId="10" borderId="6" xfId="0" applyNumberFormat="1" applyFont="1" applyFill="1" applyBorder="1"/>
    <xf numFmtId="3" fontId="10" fillId="10" borderId="6" xfId="0" applyNumberFormat="1" applyFont="1" applyFill="1" applyBorder="1" applyAlignment="1">
      <alignment wrapText="1"/>
    </xf>
    <xf numFmtId="3" fontId="11" fillId="10" borderId="7" xfId="0" applyNumberFormat="1" applyFont="1" applyFill="1" applyBorder="1"/>
    <xf numFmtId="0" fontId="0" fillId="10" borderId="0" xfId="0" applyFill="1"/>
    <xf numFmtId="0" fontId="1" fillId="10" borderId="47" xfId="0" applyFont="1" applyFill="1" applyBorder="1" applyAlignment="1" applyProtection="1">
      <alignment horizontal="right"/>
      <protection locked="0"/>
    </xf>
    <xf numFmtId="0" fontId="1" fillId="10" borderId="10" xfId="0" applyFont="1" applyFill="1" applyBorder="1" applyProtection="1">
      <protection locked="0"/>
    </xf>
    <xf numFmtId="0" fontId="1" fillId="10" borderId="10" xfId="0" applyFont="1" applyFill="1" applyBorder="1" applyAlignment="1" applyProtection="1">
      <alignment horizontal="center"/>
      <protection locked="0"/>
    </xf>
    <xf numFmtId="4" fontId="1" fillId="10" borderId="46" xfId="0" applyNumberFormat="1" applyFont="1" applyFill="1" applyBorder="1" applyAlignment="1" applyProtection="1">
      <protection locked="0"/>
    </xf>
    <xf numFmtId="3" fontId="1" fillId="10" borderId="10" xfId="0" applyNumberFormat="1" applyFont="1" applyFill="1" applyBorder="1" applyProtection="1">
      <protection locked="0"/>
    </xf>
    <xf numFmtId="4" fontId="1" fillId="10" borderId="48" xfId="0" applyNumberFormat="1" applyFont="1" applyFill="1" applyBorder="1" applyProtection="1">
      <protection locked="0"/>
    </xf>
    <xf numFmtId="0" fontId="0" fillId="10" borderId="10" xfId="0" applyFill="1" applyBorder="1"/>
    <xf numFmtId="0" fontId="1" fillId="10" borderId="11" xfId="0" applyFont="1" applyFill="1" applyBorder="1" applyAlignment="1" applyProtection="1">
      <alignment horizontal="right"/>
      <protection locked="0"/>
    </xf>
    <xf numFmtId="4" fontId="1" fillId="10" borderId="10" xfId="0" applyNumberFormat="1" applyFont="1" applyFill="1" applyBorder="1" applyAlignment="1" applyProtection="1">
      <protection locked="0"/>
    </xf>
    <xf numFmtId="0" fontId="1" fillId="10" borderId="46" xfId="0" applyFont="1" applyFill="1" applyBorder="1" applyAlignment="1" applyProtection="1">
      <alignment horizontal="right"/>
      <protection locked="0"/>
    </xf>
    <xf numFmtId="0" fontId="1" fillId="10" borderId="10" xfId="0" applyFont="1" applyFill="1" applyBorder="1" applyAlignment="1" applyProtection="1">
      <protection locked="0"/>
    </xf>
    <xf numFmtId="0" fontId="1" fillId="10" borderId="48" xfId="0" applyFont="1" applyFill="1" applyBorder="1" applyProtection="1">
      <protection locked="0"/>
    </xf>
    <xf numFmtId="0" fontId="1" fillId="10" borderId="47" xfId="0" applyFont="1" applyFill="1" applyBorder="1" applyAlignment="1" applyProtection="1">
      <alignment horizontal="center"/>
      <protection locked="0"/>
    </xf>
    <xf numFmtId="0" fontId="1" fillId="10" borderId="46" xfId="0" applyFont="1" applyFill="1" applyBorder="1" applyAlignment="1" applyProtection="1">
      <alignment horizontal="center"/>
      <protection locked="0"/>
    </xf>
    <xf numFmtId="3" fontId="1" fillId="10" borderId="43" xfId="0" applyNumberFormat="1" applyFont="1" applyFill="1" applyBorder="1" applyProtection="1">
      <protection locked="0"/>
    </xf>
    <xf numFmtId="0" fontId="1" fillId="10" borderId="46" xfId="0" applyFont="1" applyFill="1" applyBorder="1" applyProtection="1">
      <protection locked="0"/>
    </xf>
    <xf numFmtId="0" fontId="1" fillId="10" borderId="0" xfId="0" applyFont="1" applyFill="1" applyBorder="1" applyAlignment="1" applyProtection="1">
      <alignment horizontal="right"/>
      <protection locked="0"/>
    </xf>
    <xf numFmtId="0" fontId="13" fillId="10" borderId="45" xfId="0" applyFont="1" applyFill="1" applyBorder="1" applyProtection="1">
      <protection locked="0"/>
    </xf>
    <xf numFmtId="0" fontId="13" fillId="10" borderId="45" xfId="0" applyFont="1" applyFill="1" applyBorder="1" applyAlignment="1" applyProtection="1">
      <alignment horizontal="right"/>
      <protection locked="0"/>
    </xf>
    <xf numFmtId="4" fontId="13" fillId="10" borderId="45" xfId="0" applyNumberFormat="1" applyFont="1" applyFill="1" applyBorder="1" applyAlignment="1" applyProtection="1">
      <protection locked="0"/>
    </xf>
    <xf numFmtId="0" fontId="1" fillId="10" borderId="6" xfId="0" applyNumberFormat="1" applyFont="1" applyFill="1" applyBorder="1" applyProtection="1">
      <protection locked="0"/>
    </xf>
    <xf numFmtId="4" fontId="13" fillId="10" borderId="45" xfId="0" applyNumberFormat="1" applyFont="1" applyFill="1" applyBorder="1" applyProtection="1">
      <protection locked="0"/>
    </xf>
    <xf numFmtId="0" fontId="1" fillId="10" borderId="53" xfId="0" applyFont="1" applyFill="1" applyBorder="1" applyAlignment="1" applyProtection="1">
      <protection locked="0"/>
    </xf>
    <xf numFmtId="0" fontId="1" fillId="10" borderId="10" xfId="0" applyFont="1" applyFill="1" applyBorder="1" applyAlignment="1" applyProtection="1">
      <alignment horizontal="right"/>
      <protection locked="0"/>
    </xf>
    <xf numFmtId="0" fontId="1" fillId="10" borderId="45" xfId="0" applyFont="1" applyFill="1" applyBorder="1" applyAlignment="1" applyProtection="1">
      <alignment wrapText="1"/>
      <protection locked="0"/>
    </xf>
    <xf numFmtId="0" fontId="1" fillId="10" borderId="49" xfId="0" applyFont="1" applyFill="1" applyBorder="1" applyAlignment="1" applyProtection="1">
      <alignment horizontal="center"/>
      <protection locked="0"/>
    </xf>
    <xf numFmtId="4" fontId="1" fillId="10" borderId="10" xfId="0" applyNumberFormat="1" applyFont="1" applyFill="1" applyBorder="1" applyProtection="1">
      <protection locked="0"/>
    </xf>
    <xf numFmtId="0" fontId="19" fillId="0" borderId="0" xfId="0" applyFont="1"/>
    <xf numFmtId="0" fontId="4" fillId="0" borderId="0" xfId="0" applyFont="1" applyBorder="1"/>
    <xf numFmtId="0" fontId="20" fillId="0" borderId="0" xfId="0" applyFont="1" applyBorder="1"/>
    <xf numFmtId="0" fontId="2" fillId="0" borderId="0" xfId="0" applyFont="1" applyBorder="1"/>
    <xf numFmtId="49" fontId="1" fillId="0" borderId="10" xfId="0" applyNumberFormat="1" applyFont="1" applyBorder="1" applyAlignment="1">
      <alignment horizontal="center" vertical="center"/>
    </xf>
    <xf numFmtId="0" fontId="4" fillId="0" borderId="0" xfId="0" applyFont="1" applyAlignment="1"/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left"/>
      <protection locked="0"/>
    </xf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23" fillId="0" borderId="0" xfId="0" applyFont="1"/>
    <xf numFmtId="0" fontId="2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textRotation="90"/>
    </xf>
    <xf numFmtId="0" fontId="1" fillId="2" borderId="16" xfId="0" applyFont="1" applyFill="1" applyBorder="1" applyAlignment="1">
      <alignment horizontal="center" textRotation="90"/>
    </xf>
    <xf numFmtId="0" fontId="1" fillId="10" borderId="10" xfId="0" applyFont="1" applyFill="1" applyBorder="1" applyAlignment="1" applyProtection="1">
      <alignment horizontal="center" vertical="center" wrapText="1"/>
      <protection locked="0"/>
    </xf>
    <xf numFmtId="0" fontId="1" fillId="2" borderId="39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1" fillId="2" borderId="22" xfId="0" applyNumberFormat="1" applyFont="1" applyFill="1" applyBorder="1" applyAlignment="1">
      <alignment horizontal="center" textRotation="90" wrapText="1"/>
    </xf>
    <xf numFmtId="0" fontId="0" fillId="2" borderId="27" xfId="0" applyFill="1" applyBorder="1" applyAlignment="1">
      <alignment textRotation="90"/>
    </xf>
    <xf numFmtId="0" fontId="0" fillId="2" borderId="36" xfId="0" applyFill="1" applyBorder="1" applyAlignment="1">
      <alignment textRotation="90"/>
    </xf>
    <xf numFmtId="49" fontId="1" fillId="2" borderId="21" xfId="0" applyNumberFormat="1" applyFont="1" applyFill="1" applyBorder="1" applyAlignment="1">
      <alignment horizontal="center" textRotation="90" wrapText="1"/>
    </xf>
    <xf numFmtId="0" fontId="0" fillId="2" borderId="26" xfId="0" applyFill="1" applyBorder="1" applyAlignment="1">
      <alignment textRotation="90"/>
    </xf>
    <xf numFmtId="0" fontId="0" fillId="2" borderId="35" xfId="0" applyFill="1" applyBorder="1" applyAlignment="1">
      <alignment textRotation="90"/>
    </xf>
    <xf numFmtId="49" fontId="1" fillId="2" borderId="2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24" xfId="0" applyBorder="1" applyAlignment="1"/>
    <xf numFmtId="0" fontId="0" fillId="0" borderId="4" xfId="0" applyBorder="1" applyAlignment="1"/>
    <xf numFmtId="0" fontId="1" fillId="2" borderId="14" xfId="0" applyFont="1" applyFill="1" applyBorder="1" applyAlignment="1">
      <alignment horizontal="center" textRotation="90"/>
    </xf>
    <xf numFmtId="0" fontId="0" fillId="2" borderId="9" xfId="0" applyFill="1" applyBorder="1" applyAlignment="1">
      <alignment horizontal="center" textRotation="90"/>
    </xf>
    <xf numFmtId="0" fontId="1" fillId="2" borderId="29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49" fontId="1" fillId="2" borderId="32" xfId="0" applyNumberFormat="1" applyFont="1" applyFill="1" applyBorder="1" applyAlignment="1">
      <alignment horizontal="center" vertical="center" textRotation="90" wrapText="1"/>
    </xf>
    <xf numFmtId="0" fontId="0" fillId="2" borderId="38" xfId="0" applyFill="1" applyBorder="1" applyAlignment="1">
      <alignment horizontal="center" vertical="center" textRotation="90" wrapText="1"/>
    </xf>
    <xf numFmtId="0" fontId="1" fillId="2" borderId="21" xfId="0" applyFont="1" applyFill="1" applyBorder="1" applyAlignment="1">
      <alignment horizontal="center" textRotation="90"/>
    </xf>
    <xf numFmtId="0" fontId="0" fillId="2" borderId="37" xfId="0" applyFill="1" applyBorder="1" applyAlignment="1">
      <alignment horizontal="center" textRotation="90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 wrapText="1"/>
    </xf>
    <xf numFmtId="0" fontId="0" fillId="2" borderId="25" xfId="0" applyFill="1" applyBorder="1" applyAlignment="1"/>
    <xf numFmtId="0" fontId="0" fillId="2" borderId="33" xfId="0" applyFill="1" applyBorder="1" applyAlignment="1"/>
    <xf numFmtId="0" fontId="0" fillId="2" borderId="34" xfId="0" applyFill="1" applyBorder="1" applyAlignment="1"/>
    <xf numFmtId="49" fontId="1" fillId="2" borderId="21" xfId="0" applyNumberFormat="1" applyFont="1" applyFill="1" applyBorder="1" applyAlignment="1">
      <alignment horizontal="center" vertical="center" wrapText="1"/>
    </xf>
    <xf numFmtId="0" fontId="0" fillId="2" borderId="26" xfId="0" applyFill="1" applyBorder="1" applyAlignment="1"/>
    <xf numFmtId="0" fontId="0" fillId="2" borderId="35" xfId="0" applyFill="1" applyBorder="1" applyAlignment="1"/>
    <xf numFmtId="49" fontId="0" fillId="2" borderId="26" xfId="0" applyNumberFormat="1" applyFill="1" applyBorder="1" applyAlignment="1">
      <alignment horizontal="center" textRotation="90"/>
    </xf>
    <xf numFmtId="0" fontId="0" fillId="2" borderId="35" xfId="0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textRotation="90"/>
    </xf>
    <xf numFmtId="49" fontId="3" fillId="2" borderId="2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3" borderId="39" xfId="0" applyFont="1" applyFill="1" applyBorder="1" applyAlignment="1">
      <alignment horizontal="center"/>
    </xf>
    <xf numFmtId="0" fontId="15" fillId="3" borderId="40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9" fontId="1" fillId="7" borderId="23" xfId="0" applyNumberFormat="1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49" fontId="1" fillId="6" borderId="23" xfId="0" applyNumberFormat="1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4" xfId="0" applyFill="1" applyBorder="1" applyAlignment="1"/>
    <xf numFmtId="0" fontId="1" fillId="2" borderId="28" xfId="0" applyFont="1" applyFill="1" applyBorder="1" applyAlignment="1">
      <alignment horizontal="center" textRotation="90"/>
    </xf>
    <xf numFmtId="49" fontId="1" fillId="2" borderId="1" xfId="0" applyNumberFormat="1" applyFont="1" applyFill="1" applyBorder="1" applyAlignment="1">
      <alignment horizontal="center" vertical="center" textRotation="1" wrapText="1"/>
    </xf>
    <xf numFmtId="49" fontId="1" fillId="2" borderId="16" xfId="0" applyNumberFormat="1" applyFont="1" applyFill="1" applyBorder="1" applyAlignment="1">
      <alignment horizontal="center" vertical="center" textRotation="1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textRotation="90" wrapText="1"/>
    </xf>
    <xf numFmtId="49" fontId="5" fillId="2" borderId="16" xfId="0" applyNumberFormat="1" applyFont="1" applyFill="1" applyBorder="1" applyAlignment="1">
      <alignment horizontal="center" vertical="center" textRotation="90" wrapText="1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76"/>
  <sheetViews>
    <sheetView tabSelected="1" view="pageBreakPreview" topLeftCell="A19" zoomScale="40" zoomScaleNormal="124" zoomScaleSheetLayoutView="40" workbookViewId="0">
      <pane xSplit="20" ySplit="2" topLeftCell="U21" activePane="bottomRight" state="frozen"/>
      <selection activeCell="A19" sqref="A19"/>
      <selection pane="topRight" activeCell="U19" sqref="U19"/>
      <selection pane="bottomLeft" activeCell="A21" sqref="A21"/>
      <selection pane="bottomRight" activeCell="J61" sqref="J61"/>
    </sheetView>
  </sheetViews>
  <sheetFormatPr defaultRowHeight="15" x14ac:dyDescent="0.25"/>
  <cols>
    <col min="1" max="1" width="3" customWidth="1"/>
    <col min="2" max="2" width="25.7109375" customWidth="1"/>
    <col min="3" max="3" width="14.85546875" customWidth="1"/>
    <col min="4" max="4" width="8.5703125" customWidth="1"/>
    <col min="5" max="5" width="5.7109375" customWidth="1"/>
    <col min="6" max="6" width="8.7109375" customWidth="1"/>
    <col min="7" max="7" width="7" customWidth="1"/>
    <col min="8" max="8" width="7.7109375" customWidth="1"/>
    <col min="9" max="16" width="5.7109375" customWidth="1"/>
    <col min="17" max="17" width="6.85546875" customWidth="1"/>
    <col min="18" max="18" width="5.7109375" customWidth="1"/>
    <col min="19" max="19" width="6.140625" customWidth="1"/>
    <col min="20" max="20" width="5.7109375" customWidth="1"/>
    <col min="21" max="21" width="9" customWidth="1"/>
    <col min="22" max="24" width="5.7109375" customWidth="1"/>
    <col min="25" max="25" width="7.28515625" customWidth="1"/>
    <col min="26" max="30" width="5.7109375" customWidth="1"/>
    <col min="31" max="31" width="10.5703125" customWidth="1"/>
    <col min="32" max="32" width="11" customWidth="1"/>
    <col min="33" max="33" width="8.7109375" customWidth="1"/>
    <col min="34" max="34" width="9" customWidth="1"/>
    <col min="35" max="35" width="9.42578125" customWidth="1"/>
    <col min="36" max="36" width="9.28515625" customWidth="1"/>
    <col min="37" max="37" width="8.7109375" customWidth="1"/>
    <col min="38" max="38" width="9" customWidth="1"/>
    <col min="39" max="39" width="9.7109375" customWidth="1"/>
    <col min="40" max="40" width="8.7109375" customWidth="1"/>
    <col min="42" max="42" width="10.28515625" customWidth="1"/>
    <col min="43" max="43" width="5.7109375" customWidth="1"/>
    <col min="44" max="44" width="7.28515625" customWidth="1"/>
    <col min="45" max="45" width="5.7109375" customWidth="1"/>
    <col min="46" max="46" width="7" customWidth="1"/>
    <col min="47" max="47" width="5.7109375" customWidth="1"/>
    <col min="48" max="48" width="7.5703125" customWidth="1"/>
    <col min="49" max="49" width="5.7109375" customWidth="1"/>
    <col min="50" max="50" width="8.5703125" customWidth="1"/>
    <col min="51" max="51" width="5.7109375" customWidth="1"/>
    <col min="52" max="52" width="4.85546875" customWidth="1"/>
    <col min="53" max="55" width="5.7109375" customWidth="1"/>
    <col min="56" max="56" width="6.85546875" customWidth="1"/>
    <col min="57" max="59" width="5.7109375" customWidth="1"/>
    <col min="60" max="60" width="5.28515625" customWidth="1"/>
    <col min="61" max="61" width="5.7109375" customWidth="1"/>
    <col min="62" max="62" width="6.28515625" customWidth="1"/>
    <col min="63" max="63" width="5.7109375" customWidth="1"/>
    <col min="64" max="64" width="7.28515625" customWidth="1"/>
    <col min="65" max="65" width="5.7109375" customWidth="1"/>
    <col min="66" max="66" width="6" customWidth="1"/>
    <col min="67" max="67" width="5.7109375" customWidth="1"/>
    <col min="68" max="68" width="6" customWidth="1"/>
    <col min="69" max="69" width="5.7109375" customWidth="1"/>
    <col min="70" max="70" width="5.85546875" customWidth="1"/>
    <col min="71" max="71" width="5.7109375" customWidth="1"/>
    <col min="72" max="72" width="6.85546875" customWidth="1"/>
    <col min="73" max="73" width="5.7109375" customWidth="1"/>
    <col min="74" max="74" width="7.85546875" customWidth="1"/>
    <col min="75" max="75" width="5.7109375" customWidth="1"/>
    <col min="76" max="76" width="6.140625" customWidth="1"/>
    <col min="77" max="77" width="5.7109375" customWidth="1"/>
    <col min="78" max="78" width="7" customWidth="1"/>
    <col min="79" max="79" width="5.7109375" customWidth="1"/>
    <col min="80" max="80" width="7.42578125" customWidth="1"/>
    <col min="81" max="81" width="7" customWidth="1"/>
    <col min="82" max="82" width="8.7109375" customWidth="1"/>
    <col min="83" max="83" width="7" customWidth="1"/>
    <col min="84" max="84" width="8.140625" customWidth="1"/>
    <col min="85" max="85" width="4.42578125" customWidth="1"/>
    <col min="86" max="86" width="7.140625" customWidth="1"/>
    <col min="87" max="87" width="8.5703125" customWidth="1"/>
    <col min="88" max="88" width="8" customWidth="1"/>
    <col min="89" max="89" width="9.42578125" customWidth="1"/>
    <col min="90" max="90" width="11.28515625" customWidth="1"/>
  </cols>
  <sheetData>
    <row r="1" spans="1:29" ht="16.5" thickBot="1" x14ac:dyDescent="0.3">
      <c r="A1" s="1"/>
      <c r="B1" s="189" t="s">
        <v>155</v>
      </c>
      <c r="C1" s="1"/>
      <c r="D1" s="203" t="s">
        <v>156</v>
      </c>
      <c r="E1" s="203"/>
      <c r="F1" s="203"/>
      <c r="G1" s="203"/>
      <c r="H1" s="203"/>
      <c r="I1" s="203"/>
      <c r="J1" s="1"/>
      <c r="K1" s="1"/>
      <c r="L1" s="204" t="s">
        <v>157</v>
      </c>
      <c r="M1" s="204"/>
      <c r="N1" s="190"/>
      <c r="O1" s="190"/>
      <c r="P1" s="191"/>
      <c r="Q1" s="192"/>
      <c r="R1" s="193" t="s">
        <v>0</v>
      </c>
      <c r="S1" s="3" t="s">
        <v>1</v>
      </c>
      <c r="T1" s="3"/>
      <c r="U1" s="3"/>
      <c r="V1" s="3"/>
      <c r="W1" s="4">
        <v>0</v>
      </c>
      <c r="X1" s="4" t="s">
        <v>2</v>
      </c>
      <c r="Y1" s="5" t="s">
        <v>3</v>
      </c>
      <c r="Z1" s="4" t="s">
        <v>4</v>
      </c>
      <c r="AA1" s="4"/>
      <c r="AB1" s="4" t="s">
        <v>5</v>
      </c>
      <c r="AC1" s="1"/>
    </row>
    <row r="2" spans="1:29" ht="16.5" thickBot="1" x14ac:dyDescent="0.3">
      <c r="A2" s="1"/>
      <c r="B2" s="189" t="s">
        <v>158</v>
      </c>
      <c r="C2" s="1"/>
      <c r="D2" s="194" t="s">
        <v>159</v>
      </c>
      <c r="E2" s="194"/>
      <c r="F2" s="194"/>
      <c r="G2" s="194"/>
      <c r="H2" s="194"/>
      <c r="I2" s="194"/>
      <c r="J2" s="6"/>
      <c r="K2" s="6"/>
      <c r="L2" s="205" t="s">
        <v>160</v>
      </c>
      <c r="M2" s="205"/>
      <c r="N2" s="205"/>
      <c r="O2" s="190"/>
      <c r="P2" s="191"/>
      <c r="Q2" s="10"/>
      <c r="R2" s="193" t="s">
        <v>6</v>
      </c>
      <c r="S2" s="9" t="s">
        <v>7</v>
      </c>
      <c r="T2" s="10"/>
      <c r="U2" s="10"/>
      <c r="V2" s="10"/>
      <c r="W2" s="11">
        <v>1</v>
      </c>
      <c r="X2" s="11">
        <v>4</v>
      </c>
      <c r="Y2" s="11">
        <v>4</v>
      </c>
      <c r="Z2" s="12">
        <v>1</v>
      </c>
      <c r="AA2" s="12"/>
      <c r="AB2" s="13">
        <f>X2+Y2+Z2</f>
        <v>9</v>
      </c>
      <c r="AC2" s="1"/>
    </row>
    <row r="3" spans="1:29" ht="16.5" thickBot="1" x14ac:dyDescent="0.3">
      <c r="A3" s="1"/>
      <c r="B3" s="189" t="s">
        <v>161</v>
      </c>
      <c r="C3" s="194"/>
      <c r="D3" s="194" t="s">
        <v>162</v>
      </c>
      <c r="E3" s="194"/>
      <c r="F3" s="194"/>
      <c r="G3" s="194"/>
      <c r="H3" s="194"/>
      <c r="I3" s="15"/>
      <c r="J3" s="15"/>
      <c r="K3" s="15"/>
      <c r="L3" s="195"/>
      <c r="M3" s="195"/>
      <c r="N3" s="195"/>
      <c r="O3" s="190"/>
      <c r="P3" s="191"/>
      <c r="Q3" s="10"/>
      <c r="R3" s="193" t="s">
        <v>9</v>
      </c>
      <c r="S3" s="16" t="s">
        <v>10</v>
      </c>
      <c r="T3" s="17"/>
      <c r="U3" s="17"/>
      <c r="V3" s="17"/>
      <c r="W3" s="18">
        <v>1</v>
      </c>
      <c r="X3" s="18">
        <v>4</v>
      </c>
      <c r="Y3" s="18">
        <v>3</v>
      </c>
      <c r="Z3" s="19">
        <v>1</v>
      </c>
      <c r="AA3" s="19"/>
      <c r="AB3" s="13">
        <f t="shared" ref="AB3:AB5" si="0">X3+Y3+Z3</f>
        <v>8</v>
      </c>
      <c r="AC3" s="1"/>
    </row>
    <row r="4" spans="1:29" ht="16.5" thickBot="1" x14ac:dyDescent="0.3">
      <c r="A4" s="1"/>
      <c r="B4" s="189"/>
      <c r="C4" s="203"/>
      <c r="D4" s="203"/>
      <c r="E4" s="203"/>
      <c r="F4" s="203"/>
      <c r="G4" s="203"/>
      <c r="H4" s="203"/>
      <c r="I4" s="203"/>
      <c r="J4" s="203"/>
      <c r="K4" s="15"/>
      <c r="L4" s="196"/>
      <c r="M4" s="190"/>
      <c r="N4" s="190"/>
      <c r="O4" s="190"/>
      <c r="P4" s="191"/>
      <c r="Q4" s="10"/>
      <c r="R4" s="193" t="s">
        <v>11</v>
      </c>
      <c r="S4" s="16" t="s">
        <v>12</v>
      </c>
      <c r="T4" s="17"/>
      <c r="U4" s="17"/>
      <c r="V4" s="17"/>
      <c r="W4" s="20">
        <v>10</v>
      </c>
      <c r="X4" s="20">
        <v>44</v>
      </c>
      <c r="Y4" s="20">
        <v>19</v>
      </c>
      <c r="Z4" s="21">
        <v>3</v>
      </c>
      <c r="AA4" s="21"/>
      <c r="AB4" s="13">
        <f t="shared" si="0"/>
        <v>66</v>
      </c>
      <c r="AC4" s="1"/>
    </row>
    <row r="5" spans="1:29" ht="16.5" thickBot="1" x14ac:dyDescent="0.3">
      <c r="A5" s="1"/>
      <c r="B5" s="189" t="s">
        <v>163</v>
      </c>
      <c r="C5" s="1"/>
      <c r="D5" s="15" t="s">
        <v>164</v>
      </c>
      <c r="E5" s="15"/>
      <c r="F5" s="7"/>
      <c r="G5" s="7" t="s">
        <v>165</v>
      </c>
      <c r="H5" s="15"/>
      <c r="I5" s="15"/>
      <c r="J5" s="15"/>
      <c r="K5" s="15"/>
      <c r="L5" s="204" t="s">
        <v>164</v>
      </c>
      <c r="M5" s="204"/>
      <c r="N5" s="124" t="s">
        <v>152</v>
      </c>
      <c r="O5" s="123"/>
      <c r="P5" s="123"/>
      <c r="Q5" s="10"/>
      <c r="R5" s="193" t="s">
        <v>13</v>
      </c>
      <c r="S5" s="16" t="s">
        <v>14</v>
      </c>
      <c r="T5" s="17"/>
      <c r="U5" s="17"/>
      <c r="V5" s="17"/>
      <c r="W5" s="20"/>
      <c r="X5" s="20"/>
      <c r="Y5" s="20"/>
      <c r="Z5" s="20"/>
      <c r="AA5" s="21"/>
      <c r="AB5" s="13">
        <f t="shared" si="0"/>
        <v>0</v>
      </c>
      <c r="AC5" s="1"/>
    </row>
    <row r="6" spans="1:29" ht="16.5" thickBot="1" x14ac:dyDescent="0.3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197"/>
      <c r="N6" s="9"/>
      <c r="O6" s="10"/>
      <c r="P6" s="10"/>
      <c r="Q6" s="10"/>
      <c r="R6" s="193"/>
      <c r="S6" s="9" t="s">
        <v>15</v>
      </c>
      <c r="T6" s="10"/>
      <c r="U6" s="10"/>
      <c r="V6" s="10"/>
      <c r="W6" s="11"/>
      <c r="X6" s="11"/>
      <c r="Y6" s="11"/>
      <c r="Z6" s="11"/>
      <c r="AA6" s="12"/>
      <c r="AB6" s="13">
        <v>0</v>
      </c>
      <c r="AC6" s="1"/>
    </row>
    <row r="7" spans="1:29" ht="21.75" thickBot="1" x14ac:dyDescent="0.4">
      <c r="A7" s="1"/>
      <c r="B7" s="1"/>
      <c r="C7" s="1"/>
      <c r="D7" s="1"/>
      <c r="E7" s="1"/>
      <c r="F7" s="22" t="s">
        <v>16</v>
      </c>
      <c r="G7" s="22"/>
      <c r="H7" s="1"/>
      <c r="I7" s="1"/>
      <c r="J7" s="1"/>
      <c r="K7" s="1"/>
      <c r="L7" s="1"/>
      <c r="M7" s="197"/>
      <c r="N7" s="9"/>
      <c r="O7" s="10"/>
      <c r="P7" s="10"/>
      <c r="Q7" s="10"/>
      <c r="R7" s="193" t="s">
        <v>17</v>
      </c>
      <c r="S7" s="16" t="s">
        <v>18</v>
      </c>
      <c r="T7" s="17"/>
      <c r="U7" s="17"/>
      <c r="V7" s="17"/>
      <c r="W7" s="11">
        <f>I24</f>
        <v>20</v>
      </c>
      <c r="X7" s="11">
        <f>K24</f>
        <v>97</v>
      </c>
      <c r="Y7" s="11">
        <f>W24</f>
        <v>95</v>
      </c>
      <c r="Z7" s="12">
        <f>AC24</f>
        <v>33</v>
      </c>
      <c r="AA7" s="12"/>
      <c r="AB7" s="13">
        <v>278.75</v>
      </c>
      <c r="AC7" s="1"/>
    </row>
    <row r="8" spans="1:29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97"/>
      <c r="N8" s="9"/>
      <c r="O8" s="10"/>
      <c r="P8" s="10"/>
      <c r="Q8" s="10"/>
      <c r="R8" s="193" t="s">
        <v>19</v>
      </c>
      <c r="S8" s="16" t="s">
        <v>20</v>
      </c>
      <c r="T8" s="17"/>
      <c r="U8" s="17"/>
      <c r="V8" s="17"/>
      <c r="W8" s="18">
        <f>J24</f>
        <v>4</v>
      </c>
      <c r="X8" s="18">
        <f>L24</f>
        <v>10</v>
      </c>
      <c r="Y8" s="18">
        <f>X24</f>
        <v>10</v>
      </c>
      <c r="Z8" s="19">
        <f>AD24</f>
        <v>6</v>
      </c>
      <c r="AA8" s="19"/>
      <c r="AB8" s="13">
        <f t="shared" ref="AB8:AB16" si="1">X8+Y8+Z8</f>
        <v>26</v>
      </c>
      <c r="AC8" s="1"/>
    </row>
    <row r="9" spans="1:29" ht="19.5" thickBot="1" x14ac:dyDescent="0.35">
      <c r="A9" s="1"/>
      <c r="B9" s="1"/>
      <c r="C9" s="212" t="s">
        <v>153</v>
      </c>
      <c r="D9" s="212"/>
      <c r="E9" s="212"/>
      <c r="F9" s="212"/>
      <c r="G9" s="212"/>
      <c r="H9" s="212"/>
      <c r="I9" s="212"/>
      <c r="J9" s="212"/>
      <c r="K9" s="212"/>
      <c r="L9" s="6"/>
      <c r="M9" s="197"/>
      <c r="N9" s="9"/>
      <c r="O9" s="10"/>
      <c r="P9" s="10"/>
      <c r="Q9" s="10"/>
      <c r="R9" s="193"/>
      <c r="S9" s="16" t="s">
        <v>21</v>
      </c>
      <c r="T9" s="17"/>
      <c r="U9" s="17"/>
      <c r="V9" s="17"/>
      <c r="W9" s="18"/>
      <c r="X9" s="18"/>
      <c r="Y9" s="18"/>
      <c r="Z9" s="19"/>
      <c r="AA9" s="19"/>
      <c r="AB9" s="13">
        <f t="shared" si="1"/>
        <v>0</v>
      </c>
      <c r="AC9" s="1"/>
    </row>
    <row r="10" spans="1:29" ht="16.5" thickBot="1" x14ac:dyDescent="0.3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197"/>
      <c r="N10" s="9"/>
      <c r="O10" s="10"/>
      <c r="P10" s="10"/>
      <c r="Q10" s="10"/>
      <c r="R10" s="193"/>
      <c r="S10" s="16" t="s">
        <v>22</v>
      </c>
      <c r="T10" s="17"/>
      <c r="U10" s="17"/>
      <c r="V10" s="17"/>
      <c r="W10" s="18"/>
      <c r="X10" s="18"/>
      <c r="Y10" s="18"/>
      <c r="Z10" s="19"/>
      <c r="AA10" s="19"/>
      <c r="AB10" s="13">
        <f t="shared" si="1"/>
        <v>0</v>
      </c>
      <c r="AC10" s="1"/>
    </row>
    <row r="11" spans="1:29" ht="16.5" thickBot="1" x14ac:dyDescent="0.3">
      <c r="A11" s="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197"/>
      <c r="N11" s="9"/>
      <c r="O11" s="10"/>
      <c r="P11" s="10"/>
      <c r="Q11" s="10"/>
      <c r="R11" s="193"/>
      <c r="S11" s="16" t="s">
        <v>23</v>
      </c>
      <c r="T11" s="17"/>
      <c r="U11" s="17"/>
      <c r="V11" s="17"/>
      <c r="W11" s="18"/>
      <c r="X11" s="18"/>
      <c r="Y11" s="18"/>
      <c r="Z11" s="19"/>
      <c r="AA11" s="19"/>
      <c r="AB11" s="13">
        <f t="shared" si="1"/>
        <v>0</v>
      </c>
      <c r="AC11" s="1"/>
    </row>
    <row r="12" spans="1:29" ht="16.5" thickBot="1" x14ac:dyDescent="0.3">
      <c r="A12" s="1"/>
      <c r="B12" s="6"/>
      <c r="C12" s="6"/>
      <c r="D12" s="6"/>
      <c r="E12" s="6"/>
      <c r="F12" s="23"/>
      <c r="G12" s="23"/>
      <c r="H12" s="6"/>
      <c r="I12" s="6"/>
      <c r="J12" s="6"/>
      <c r="K12" s="6"/>
      <c r="L12" s="6"/>
      <c r="M12" s="197"/>
      <c r="N12" s="9"/>
      <c r="O12" s="10"/>
      <c r="P12" s="10"/>
      <c r="Q12" s="10"/>
      <c r="R12" s="193"/>
      <c r="S12" s="16" t="s">
        <v>24</v>
      </c>
      <c r="T12" s="17"/>
      <c r="U12" s="17"/>
      <c r="V12" s="17"/>
      <c r="W12" s="18"/>
      <c r="X12" s="18"/>
      <c r="Y12" s="18"/>
      <c r="Z12" s="19"/>
      <c r="AA12" s="19"/>
      <c r="AB12" s="13">
        <f t="shared" si="1"/>
        <v>0</v>
      </c>
      <c r="AC12" s="1"/>
    </row>
    <row r="13" spans="1:29" ht="19.5" thickBot="1" x14ac:dyDescent="0.3">
      <c r="A13" s="1"/>
      <c r="B13" s="24" t="s">
        <v>25</v>
      </c>
      <c r="C13" s="202" t="s">
        <v>168</v>
      </c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10"/>
      <c r="Q13" s="10"/>
      <c r="R13" s="193"/>
      <c r="S13" s="16" t="s">
        <v>26</v>
      </c>
      <c r="T13" s="17"/>
      <c r="U13" s="17"/>
      <c r="V13" s="17"/>
      <c r="W13" s="18"/>
      <c r="X13" s="18"/>
      <c r="Y13" s="18"/>
      <c r="Z13" s="19"/>
      <c r="AA13" s="19"/>
      <c r="AB13" s="13">
        <f t="shared" si="1"/>
        <v>0</v>
      </c>
      <c r="AC13" s="1"/>
    </row>
    <row r="14" spans="1:29" ht="19.5" thickBot="1" x14ac:dyDescent="0.35">
      <c r="A14" s="1"/>
      <c r="B14" s="6"/>
      <c r="C14" s="201" t="s">
        <v>167</v>
      </c>
      <c r="D14" s="6"/>
      <c r="E14" s="6"/>
      <c r="F14" s="23"/>
      <c r="G14" s="23"/>
      <c r="H14" s="6"/>
      <c r="I14" s="6"/>
      <c r="J14" s="6"/>
      <c r="K14" s="6"/>
      <c r="L14" s="6"/>
      <c r="M14" s="197"/>
      <c r="N14" s="9"/>
      <c r="O14" s="10"/>
      <c r="P14" s="10"/>
      <c r="Q14" s="10"/>
      <c r="R14" s="193"/>
      <c r="S14" s="16" t="s">
        <v>27</v>
      </c>
      <c r="T14" s="17"/>
      <c r="U14" s="17"/>
      <c r="V14" s="17"/>
      <c r="W14" s="18"/>
      <c r="X14" s="18"/>
      <c r="Y14" s="18"/>
      <c r="Z14" s="19"/>
      <c r="AA14" s="19"/>
      <c r="AB14" s="13">
        <f t="shared" si="1"/>
        <v>0</v>
      </c>
      <c r="AC14" s="1"/>
    </row>
    <row r="15" spans="1:29" ht="19.5" thickBot="1" x14ac:dyDescent="0.35">
      <c r="A15" s="1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7"/>
      <c r="N15" s="9"/>
      <c r="O15" s="10"/>
      <c r="P15" s="10"/>
      <c r="Q15" s="10"/>
      <c r="R15" s="193"/>
      <c r="S15" s="16" t="s">
        <v>28</v>
      </c>
      <c r="T15" s="17"/>
      <c r="U15" s="17"/>
      <c r="V15" s="17"/>
      <c r="W15" s="20"/>
      <c r="X15" s="20"/>
      <c r="Y15" s="20"/>
      <c r="Z15" s="21"/>
      <c r="AA15" s="21"/>
      <c r="AB15" s="13">
        <f t="shared" si="1"/>
        <v>0</v>
      </c>
      <c r="AC15" s="1"/>
    </row>
    <row r="16" spans="1:29" ht="16.5" thickBot="1" x14ac:dyDescent="0.3">
      <c r="A16" s="1"/>
      <c r="B16" s="199"/>
      <c r="C16" s="10"/>
      <c r="D16" s="10"/>
      <c r="E16" s="10"/>
      <c r="F16" s="200"/>
      <c r="G16" s="200"/>
      <c r="H16" s="10"/>
      <c r="I16" s="10"/>
      <c r="J16" s="10"/>
      <c r="K16" s="10"/>
      <c r="L16" s="10"/>
      <c r="M16" s="197"/>
      <c r="N16" s="9"/>
      <c r="O16" s="10"/>
      <c r="P16" s="10"/>
      <c r="Q16" s="10"/>
      <c r="R16" s="193"/>
      <c r="S16" s="16" t="s">
        <v>30</v>
      </c>
      <c r="T16" s="17"/>
      <c r="U16" s="17"/>
      <c r="V16" s="17"/>
      <c r="W16" s="20"/>
      <c r="X16" s="20"/>
      <c r="Y16" s="20"/>
      <c r="Z16" s="27"/>
      <c r="AA16" s="28"/>
      <c r="AB16" s="13">
        <f t="shared" si="1"/>
        <v>0</v>
      </c>
      <c r="AC16" s="1"/>
    </row>
    <row r="17" spans="1:90" ht="16.5" thickBot="1" x14ac:dyDescent="0.3">
      <c r="A17" s="1"/>
      <c r="B17" s="6"/>
      <c r="C17" s="1"/>
      <c r="D17" s="1"/>
      <c r="E17" s="1"/>
      <c r="F17" s="26"/>
      <c r="G17" s="26"/>
      <c r="H17" s="1"/>
      <c r="I17" s="1"/>
      <c r="J17" s="1"/>
      <c r="K17" s="1"/>
      <c r="L17" s="1"/>
      <c r="M17" s="197"/>
      <c r="N17" s="9"/>
      <c r="O17" s="10"/>
      <c r="P17" s="10"/>
      <c r="Q17" s="10"/>
      <c r="R17" s="193"/>
      <c r="S17" s="9" t="s">
        <v>76</v>
      </c>
      <c r="T17" s="10"/>
      <c r="U17" s="10"/>
      <c r="V17" s="10"/>
      <c r="W17" s="43"/>
      <c r="X17" s="43"/>
      <c r="Y17" s="43"/>
      <c r="Z17" s="44"/>
      <c r="AA17" s="45"/>
      <c r="AB17" s="13"/>
      <c r="AC17" s="1"/>
      <c r="CD17" s="77">
        <f>BY24+CA24+CC24</f>
        <v>164</v>
      </c>
      <c r="CE17">
        <f>CD17/18</f>
        <v>9.1111111111111107</v>
      </c>
    </row>
    <row r="18" spans="1:90" ht="16.5" thickBot="1" x14ac:dyDescent="0.3">
      <c r="A18" s="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97"/>
      <c r="N18" s="9"/>
      <c r="O18" s="10"/>
      <c r="P18" s="10"/>
      <c r="Q18" s="10"/>
      <c r="R18" s="193"/>
      <c r="S18" s="30" t="s">
        <v>31</v>
      </c>
      <c r="T18" s="31"/>
      <c r="U18" s="31"/>
      <c r="V18" s="31"/>
      <c r="W18" s="32"/>
      <c r="X18" s="32"/>
      <c r="Y18" s="32"/>
      <c r="Z18" s="33"/>
      <c r="AA18" s="34"/>
      <c r="AB18" s="13">
        <f t="shared" ref="AB18" si="2">X18+Y18+Z18</f>
        <v>0</v>
      </c>
      <c r="AC18" s="1"/>
    </row>
    <row r="19" spans="1:90" ht="15.75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90" ht="15.75" thickBot="1" x14ac:dyDescent="0.3">
      <c r="A20" s="240" t="s">
        <v>0</v>
      </c>
      <c r="B20" s="240" t="s">
        <v>32</v>
      </c>
      <c r="C20" s="244" t="s">
        <v>33</v>
      </c>
      <c r="D20" s="216" t="s">
        <v>34</v>
      </c>
      <c r="E20" s="216" t="s">
        <v>35</v>
      </c>
      <c r="F20" s="213" t="s">
        <v>36</v>
      </c>
      <c r="G20" s="216" t="s">
        <v>37</v>
      </c>
      <c r="H20" s="216" t="s">
        <v>38</v>
      </c>
      <c r="I20" s="219" t="s">
        <v>39</v>
      </c>
      <c r="J20" s="220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2"/>
      <c r="AB20" s="222"/>
      <c r="AC20" s="221"/>
      <c r="AD20" s="223"/>
      <c r="AE20" s="219" t="s">
        <v>40</v>
      </c>
      <c r="AF20" s="221"/>
      <c r="AG20" s="221"/>
      <c r="AH20" s="221"/>
      <c r="AI20" s="221"/>
      <c r="AJ20" s="221"/>
      <c r="AK20" s="221"/>
      <c r="AL20" s="221"/>
      <c r="AM20" s="221"/>
      <c r="AN20" s="221"/>
      <c r="AO20" s="223"/>
      <c r="AP20" s="216" t="s">
        <v>41</v>
      </c>
      <c r="AQ20" s="255" t="s">
        <v>42</v>
      </c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7"/>
      <c r="BO20" s="219" t="s">
        <v>43</v>
      </c>
      <c r="BP20" s="258"/>
      <c r="BQ20" s="258"/>
      <c r="BR20" s="259"/>
      <c r="BS20" s="260" t="s">
        <v>44</v>
      </c>
      <c r="BT20" s="258"/>
      <c r="BU20" s="258"/>
      <c r="BV20" s="259"/>
      <c r="BW20" s="209" t="s">
        <v>45</v>
      </c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1"/>
      <c r="CJ20" s="249" t="s">
        <v>46</v>
      </c>
      <c r="CK20" s="249" t="s">
        <v>74</v>
      </c>
      <c r="CL20" s="209" t="s">
        <v>75</v>
      </c>
    </row>
    <row r="21" spans="1:90" ht="15.75" thickBot="1" x14ac:dyDescent="0.3">
      <c r="A21" s="241"/>
      <c r="B21" s="241"/>
      <c r="C21" s="245"/>
      <c r="D21" s="247"/>
      <c r="E21" s="217"/>
      <c r="F21" s="214"/>
      <c r="G21" s="217"/>
      <c r="H21" s="217"/>
      <c r="I21" s="236" t="s">
        <v>47</v>
      </c>
      <c r="J21" s="206" t="s">
        <v>151</v>
      </c>
      <c r="K21" s="229" t="s">
        <v>48</v>
      </c>
      <c r="L21" s="230"/>
      <c r="M21" s="229" t="s">
        <v>49</v>
      </c>
      <c r="N21" s="230"/>
      <c r="O21" s="229" t="s">
        <v>50</v>
      </c>
      <c r="P21" s="230"/>
      <c r="Q21" s="229" t="s">
        <v>51</v>
      </c>
      <c r="R21" s="230"/>
      <c r="S21" s="229" t="s">
        <v>52</v>
      </c>
      <c r="T21" s="230"/>
      <c r="U21" s="229" t="s">
        <v>53</v>
      </c>
      <c r="V21" s="230"/>
      <c r="W21" s="229" t="s">
        <v>54</v>
      </c>
      <c r="X21" s="230"/>
      <c r="Y21" s="229" t="s">
        <v>55</v>
      </c>
      <c r="Z21" s="231"/>
      <c r="AA21" s="229" t="s">
        <v>56</v>
      </c>
      <c r="AB21" s="230"/>
      <c r="AC21" s="238" t="s">
        <v>57</v>
      </c>
      <c r="AD21" s="239"/>
      <c r="AE21" s="274" t="s">
        <v>47</v>
      </c>
      <c r="AF21" s="274" t="s">
        <v>48</v>
      </c>
      <c r="AG21" s="224" t="s">
        <v>49</v>
      </c>
      <c r="AH21" s="236" t="s">
        <v>50</v>
      </c>
      <c r="AI21" s="224" t="s">
        <v>51</v>
      </c>
      <c r="AJ21" s="236" t="s">
        <v>52</v>
      </c>
      <c r="AK21" s="224" t="s">
        <v>53</v>
      </c>
      <c r="AL21" s="236" t="s">
        <v>54</v>
      </c>
      <c r="AM21" s="224" t="s">
        <v>55</v>
      </c>
      <c r="AN21" s="236" t="s">
        <v>56</v>
      </c>
      <c r="AO21" s="224" t="s">
        <v>57</v>
      </c>
      <c r="AP21" s="217"/>
      <c r="AQ21" s="226" t="s">
        <v>58</v>
      </c>
      <c r="AR21" s="227"/>
      <c r="AS21" s="227"/>
      <c r="AT21" s="227"/>
      <c r="AU21" s="227"/>
      <c r="AV21" s="227"/>
      <c r="AW21" s="227"/>
      <c r="AX21" s="228"/>
      <c r="AY21" s="226" t="s">
        <v>59</v>
      </c>
      <c r="AZ21" s="227"/>
      <c r="BA21" s="227"/>
      <c r="BB21" s="227"/>
      <c r="BC21" s="227"/>
      <c r="BD21" s="227"/>
      <c r="BE21" s="227"/>
      <c r="BF21" s="228"/>
      <c r="BG21" s="226" t="s">
        <v>60</v>
      </c>
      <c r="BH21" s="227"/>
      <c r="BI21" s="227"/>
      <c r="BJ21" s="227"/>
      <c r="BK21" s="227"/>
      <c r="BL21" s="227"/>
      <c r="BM21" s="227"/>
      <c r="BN21" s="228"/>
      <c r="BO21" s="278" t="s">
        <v>61</v>
      </c>
      <c r="BP21" s="232" t="s">
        <v>136</v>
      </c>
      <c r="BQ21" s="278" t="s">
        <v>61</v>
      </c>
      <c r="BR21" s="275" t="s">
        <v>137</v>
      </c>
      <c r="BS21" s="234" t="s">
        <v>64</v>
      </c>
      <c r="BT21" s="232" t="s">
        <v>65</v>
      </c>
      <c r="BU21" s="234" t="s">
        <v>64</v>
      </c>
      <c r="BV21" s="232" t="s">
        <v>66</v>
      </c>
      <c r="BW21" s="219" t="s">
        <v>67</v>
      </c>
      <c r="BX21" s="259"/>
      <c r="BY21" s="271" t="s">
        <v>126</v>
      </c>
      <c r="BZ21" s="273"/>
      <c r="CA21" s="268" t="s">
        <v>124</v>
      </c>
      <c r="CB21" s="269"/>
      <c r="CC21" s="270" t="s">
        <v>122</v>
      </c>
      <c r="CD21" s="269"/>
      <c r="CE21" s="271" t="s">
        <v>114</v>
      </c>
      <c r="CF21" s="272"/>
      <c r="CG21" s="46"/>
      <c r="CH21" s="266" t="s">
        <v>78</v>
      </c>
      <c r="CI21" s="264" t="s">
        <v>149</v>
      </c>
      <c r="CJ21" s="250"/>
      <c r="CK21" s="250"/>
      <c r="CL21" s="252"/>
    </row>
    <row r="22" spans="1:90" ht="49.5" thickBot="1" x14ac:dyDescent="0.3">
      <c r="A22" s="242"/>
      <c r="B22" s="243"/>
      <c r="C22" s="246"/>
      <c r="D22" s="248"/>
      <c r="E22" s="218"/>
      <c r="F22" s="215"/>
      <c r="G22" s="218"/>
      <c r="H22" s="218"/>
      <c r="I22" s="248"/>
      <c r="J22" s="207"/>
      <c r="K22" s="35" t="s">
        <v>68</v>
      </c>
      <c r="L22" s="35" t="s">
        <v>69</v>
      </c>
      <c r="M22" s="35" t="s">
        <v>68</v>
      </c>
      <c r="N22" s="35" t="s">
        <v>69</v>
      </c>
      <c r="O22" s="35" t="s">
        <v>68</v>
      </c>
      <c r="P22" s="35" t="s">
        <v>69</v>
      </c>
      <c r="Q22" s="35" t="s">
        <v>68</v>
      </c>
      <c r="R22" s="35" t="s">
        <v>69</v>
      </c>
      <c r="S22" s="35" t="s">
        <v>68</v>
      </c>
      <c r="T22" s="35" t="s">
        <v>69</v>
      </c>
      <c r="U22" s="35" t="s">
        <v>68</v>
      </c>
      <c r="V22" s="35" t="s">
        <v>69</v>
      </c>
      <c r="W22" s="35" t="s">
        <v>68</v>
      </c>
      <c r="X22" s="35" t="s">
        <v>69</v>
      </c>
      <c r="Y22" s="35" t="s">
        <v>68</v>
      </c>
      <c r="Z22" s="35" t="s">
        <v>69</v>
      </c>
      <c r="AA22" s="36" t="s">
        <v>68</v>
      </c>
      <c r="AB22" s="36" t="s">
        <v>69</v>
      </c>
      <c r="AC22" s="35" t="s">
        <v>68</v>
      </c>
      <c r="AD22" s="35" t="s">
        <v>69</v>
      </c>
      <c r="AE22" s="248"/>
      <c r="AF22" s="248"/>
      <c r="AG22" s="225"/>
      <c r="AH22" s="237"/>
      <c r="AI22" s="225"/>
      <c r="AJ22" s="237"/>
      <c r="AK22" s="225"/>
      <c r="AL22" s="248"/>
      <c r="AM22" s="225"/>
      <c r="AN22" s="237"/>
      <c r="AO22" s="225"/>
      <c r="AP22" s="254"/>
      <c r="AQ22" s="37" t="s">
        <v>70</v>
      </c>
      <c r="AR22" s="38" t="s">
        <v>135</v>
      </c>
      <c r="AS22" s="37" t="s">
        <v>70</v>
      </c>
      <c r="AT22" s="38" t="s">
        <v>63</v>
      </c>
      <c r="AU22" s="37" t="s">
        <v>70</v>
      </c>
      <c r="AV22" s="38" t="s">
        <v>123</v>
      </c>
      <c r="AW22" s="37" t="s">
        <v>70</v>
      </c>
      <c r="AX22" s="38" t="s">
        <v>71</v>
      </c>
      <c r="AY22" s="37" t="s">
        <v>70</v>
      </c>
      <c r="AZ22" s="38" t="s">
        <v>135</v>
      </c>
      <c r="BA22" s="37" t="s">
        <v>70</v>
      </c>
      <c r="BB22" s="38" t="s">
        <v>63</v>
      </c>
      <c r="BC22" s="37" t="s">
        <v>70</v>
      </c>
      <c r="BD22" s="38" t="s">
        <v>123</v>
      </c>
      <c r="BE22" s="37" t="s">
        <v>70</v>
      </c>
      <c r="BF22" s="38" t="s">
        <v>71</v>
      </c>
      <c r="BG22" s="37" t="s">
        <v>70</v>
      </c>
      <c r="BH22" s="38" t="s">
        <v>135</v>
      </c>
      <c r="BI22" s="37" t="s">
        <v>70</v>
      </c>
      <c r="BJ22" s="38" t="s">
        <v>63</v>
      </c>
      <c r="BK22" s="37" t="s">
        <v>70</v>
      </c>
      <c r="BL22" s="38" t="s">
        <v>123</v>
      </c>
      <c r="BM22" s="37" t="s">
        <v>70</v>
      </c>
      <c r="BN22" s="38" t="s">
        <v>71</v>
      </c>
      <c r="BO22" s="279"/>
      <c r="BP22" s="277"/>
      <c r="BQ22" s="279"/>
      <c r="BR22" s="276"/>
      <c r="BS22" s="235"/>
      <c r="BT22" s="233"/>
      <c r="BU22" s="235"/>
      <c r="BV22" s="233"/>
      <c r="BW22" s="39" t="s">
        <v>72</v>
      </c>
      <c r="BX22" s="40" t="s">
        <v>71</v>
      </c>
      <c r="BY22" s="89" t="s">
        <v>72</v>
      </c>
      <c r="BZ22" s="104" t="s">
        <v>62</v>
      </c>
      <c r="CA22" s="98" t="s">
        <v>72</v>
      </c>
      <c r="CB22" s="99" t="s">
        <v>125</v>
      </c>
      <c r="CC22" s="98" t="s">
        <v>72</v>
      </c>
      <c r="CD22" s="99" t="s">
        <v>123</v>
      </c>
      <c r="CE22" s="89" t="s">
        <v>72</v>
      </c>
      <c r="CF22" s="89" t="s">
        <v>115</v>
      </c>
      <c r="CG22" s="39"/>
      <c r="CH22" s="267"/>
      <c r="CI22" s="265"/>
      <c r="CJ22" s="251"/>
      <c r="CK22" s="251"/>
      <c r="CL22" s="253"/>
    </row>
    <row r="23" spans="1:90" ht="15.75" thickBot="1" x14ac:dyDescent="0.3">
      <c r="A23" s="41">
        <v>1</v>
      </c>
      <c r="B23" s="42">
        <v>2</v>
      </c>
      <c r="C23" s="42">
        <v>3</v>
      </c>
      <c r="D23" s="42">
        <v>4</v>
      </c>
      <c r="E23" s="42">
        <v>5</v>
      </c>
      <c r="F23" s="42">
        <v>6</v>
      </c>
      <c r="G23" s="42">
        <v>7</v>
      </c>
      <c r="H23" s="42">
        <v>8</v>
      </c>
      <c r="I23" s="42">
        <v>9</v>
      </c>
      <c r="J23" s="42"/>
      <c r="K23" s="42">
        <v>10</v>
      </c>
      <c r="L23" s="42">
        <v>11</v>
      </c>
      <c r="M23" s="42">
        <v>12</v>
      </c>
      <c r="N23" s="42">
        <v>13</v>
      </c>
      <c r="O23" s="42">
        <v>14</v>
      </c>
      <c r="P23" s="42">
        <v>15</v>
      </c>
      <c r="Q23" s="42">
        <v>16</v>
      </c>
      <c r="R23" s="42">
        <v>17</v>
      </c>
      <c r="S23" s="42">
        <v>18</v>
      </c>
      <c r="T23" s="42">
        <v>19</v>
      </c>
      <c r="U23" s="42">
        <v>20</v>
      </c>
      <c r="V23" s="42">
        <v>21</v>
      </c>
      <c r="W23" s="42">
        <v>22</v>
      </c>
      <c r="X23" s="42">
        <v>23</v>
      </c>
      <c r="Y23" s="42">
        <v>24</v>
      </c>
      <c r="Z23" s="42">
        <v>25</v>
      </c>
      <c r="AA23" s="42"/>
      <c r="AB23" s="42">
        <v>27</v>
      </c>
      <c r="AC23" s="42">
        <v>28</v>
      </c>
      <c r="AD23" s="42">
        <v>29</v>
      </c>
      <c r="AE23" s="42">
        <v>30</v>
      </c>
      <c r="AF23" s="42">
        <v>31</v>
      </c>
      <c r="AG23" s="42">
        <v>32</v>
      </c>
      <c r="AH23" s="42">
        <v>33</v>
      </c>
      <c r="AI23" s="42">
        <v>34</v>
      </c>
      <c r="AJ23" s="42">
        <v>35</v>
      </c>
      <c r="AK23" s="42">
        <v>36</v>
      </c>
      <c r="AL23" s="42">
        <v>37</v>
      </c>
      <c r="AM23" s="42">
        <v>38</v>
      </c>
      <c r="AN23" s="42">
        <v>39</v>
      </c>
      <c r="AO23" s="42">
        <v>40</v>
      </c>
      <c r="AP23" s="42">
        <v>41</v>
      </c>
      <c r="AQ23" s="42">
        <v>42</v>
      </c>
      <c r="AR23" s="42">
        <v>43</v>
      </c>
      <c r="AS23" s="42">
        <v>44</v>
      </c>
      <c r="AT23" s="42">
        <v>45</v>
      </c>
      <c r="AU23" s="42">
        <v>46</v>
      </c>
      <c r="AV23" s="42">
        <v>47</v>
      </c>
      <c r="AW23" s="42">
        <v>48</v>
      </c>
      <c r="AX23" s="42">
        <v>49</v>
      </c>
      <c r="AY23" s="42">
        <v>42</v>
      </c>
      <c r="AZ23" s="42">
        <v>43</v>
      </c>
      <c r="BA23" s="42">
        <v>44</v>
      </c>
      <c r="BB23" s="42">
        <v>45</v>
      </c>
      <c r="BC23" s="42">
        <v>46</v>
      </c>
      <c r="BD23" s="42">
        <v>47</v>
      </c>
      <c r="BE23" s="42">
        <v>48</v>
      </c>
      <c r="BF23" s="42">
        <v>49</v>
      </c>
      <c r="BG23" s="42">
        <v>42</v>
      </c>
      <c r="BH23" s="42">
        <v>43</v>
      </c>
      <c r="BI23" s="42">
        <v>44</v>
      </c>
      <c r="BJ23" s="42">
        <v>45</v>
      </c>
      <c r="BK23" s="42">
        <v>46</v>
      </c>
      <c r="BL23" s="42">
        <v>47</v>
      </c>
      <c r="BM23" s="42">
        <v>48</v>
      </c>
      <c r="BN23" s="42">
        <v>49</v>
      </c>
      <c r="BO23" s="42">
        <v>66</v>
      </c>
      <c r="BP23" s="42">
        <v>67</v>
      </c>
      <c r="BQ23" s="42">
        <v>68</v>
      </c>
      <c r="BR23" s="42">
        <v>69</v>
      </c>
      <c r="BS23" s="42">
        <v>70</v>
      </c>
      <c r="BT23" s="42">
        <v>71</v>
      </c>
      <c r="BU23" s="42">
        <v>72</v>
      </c>
      <c r="BV23" s="42">
        <v>73</v>
      </c>
      <c r="BW23" s="42">
        <v>74</v>
      </c>
      <c r="BX23" s="42">
        <v>75</v>
      </c>
      <c r="BY23" s="42">
        <v>76</v>
      </c>
      <c r="BZ23" s="42">
        <v>77</v>
      </c>
      <c r="CA23" s="100">
        <v>78</v>
      </c>
      <c r="CB23" s="100">
        <v>79</v>
      </c>
      <c r="CC23" s="100">
        <v>80</v>
      </c>
      <c r="CD23" s="100">
        <v>81</v>
      </c>
      <c r="CE23" s="90">
        <v>82</v>
      </c>
      <c r="CF23" s="90">
        <v>83</v>
      </c>
      <c r="CG23" s="42"/>
      <c r="CH23" s="42"/>
      <c r="CI23" s="42"/>
      <c r="CJ23" s="42">
        <v>85</v>
      </c>
      <c r="CK23" s="42">
        <v>86</v>
      </c>
      <c r="CL23" s="105">
        <v>87</v>
      </c>
    </row>
    <row r="24" spans="1:90" s="97" customFormat="1" x14ac:dyDescent="0.25">
      <c r="A24" s="262" t="s">
        <v>73</v>
      </c>
      <c r="B24" s="263"/>
      <c r="C24" s="92"/>
      <c r="D24" s="93"/>
      <c r="E24" s="94"/>
      <c r="F24" s="93"/>
      <c r="G24" s="95"/>
      <c r="H24" s="95"/>
      <c r="I24" s="96">
        <f t="shared" ref="I24:AP24" si="3">SUM(I25:I62)</f>
        <v>20</v>
      </c>
      <c r="J24" s="96">
        <f t="shared" si="3"/>
        <v>4</v>
      </c>
      <c r="K24" s="96">
        <f t="shared" si="3"/>
        <v>97</v>
      </c>
      <c r="L24" s="96">
        <f t="shared" si="3"/>
        <v>10</v>
      </c>
      <c r="M24" s="96">
        <f t="shared" si="3"/>
        <v>0</v>
      </c>
      <c r="N24" s="96">
        <f t="shared" si="3"/>
        <v>0</v>
      </c>
      <c r="O24" s="96">
        <f t="shared" si="3"/>
        <v>29</v>
      </c>
      <c r="P24" s="96">
        <f t="shared" si="3"/>
        <v>4</v>
      </c>
      <c r="Q24" s="96">
        <f t="shared" si="3"/>
        <v>32</v>
      </c>
      <c r="R24" s="96">
        <f t="shared" si="3"/>
        <v>2</v>
      </c>
      <c r="S24" s="96">
        <f t="shared" si="3"/>
        <v>0</v>
      </c>
      <c r="T24" s="96">
        <f t="shared" si="3"/>
        <v>0</v>
      </c>
      <c r="U24" s="96">
        <f t="shared" si="3"/>
        <v>34</v>
      </c>
      <c r="V24" s="96">
        <f t="shared" si="3"/>
        <v>4</v>
      </c>
      <c r="W24" s="96">
        <f t="shared" si="3"/>
        <v>95</v>
      </c>
      <c r="X24" s="96">
        <f t="shared" si="3"/>
        <v>10</v>
      </c>
      <c r="Y24" s="96">
        <f t="shared" si="3"/>
        <v>0</v>
      </c>
      <c r="Z24" s="96">
        <f t="shared" si="3"/>
        <v>0</v>
      </c>
      <c r="AA24" s="96">
        <f t="shared" si="3"/>
        <v>33</v>
      </c>
      <c r="AB24" s="96">
        <f t="shared" si="3"/>
        <v>6</v>
      </c>
      <c r="AC24" s="96">
        <f t="shared" si="3"/>
        <v>33</v>
      </c>
      <c r="AD24" s="96">
        <f t="shared" si="3"/>
        <v>6</v>
      </c>
      <c r="AE24" s="96">
        <f t="shared" si="3"/>
        <v>136114.81640625003</v>
      </c>
      <c r="AF24" s="96">
        <f t="shared" si="3"/>
        <v>974072.375</v>
      </c>
      <c r="AG24" s="96">
        <f t="shared" si="3"/>
        <v>0</v>
      </c>
      <c r="AH24" s="96">
        <f t="shared" si="3"/>
        <v>277050.22187499999</v>
      </c>
      <c r="AI24" s="96">
        <f t="shared" si="3"/>
        <v>282746.45833333331</v>
      </c>
      <c r="AJ24" s="96">
        <f t="shared" si="3"/>
        <v>0</v>
      </c>
      <c r="AK24" s="96">
        <f t="shared" si="3"/>
        <v>330823.30833333329</v>
      </c>
      <c r="AL24" s="96">
        <f t="shared" si="3"/>
        <v>890619.98854166653</v>
      </c>
      <c r="AM24" s="96">
        <f t="shared" si="3"/>
        <v>0</v>
      </c>
      <c r="AN24" s="96">
        <f t="shared" si="3"/>
        <v>332463.7802083334</v>
      </c>
      <c r="AO24" s="96">
        <f t="shared" si="3"/>
        <v>332463.7802083334</v>
      </c>
      <c r="AP24" s="96">
        <f t="shared" si="3"/>
        <v>2333270.9601562503</v>
      </c>
      <c r="AQ24" s="96">
        <f t="shared" ref="AQ24:BN24" si="4">SUM(AQ25:AQ29)</f>
        <v>0</v>
      </c>
      <c r="AR24" s="96">
        <f t="shared" si="4"/>
        <v>0</v>
      </c>
      <c r="AS24" s="96">
        <f t="shared" si="4"/>
        <v>0</v>
      </c>
      <c r="AT24" s="96">
        <f t="shared" si="4"/>
        <v>0</v>
      </c>
      <c r="AU24" s="96">
        <f t="shared" si="4"/>
        <v>0</v>
      </c>
      <c r="AV24" s="96">
        <f t="shared" si="4"/>
        <v>0</v>
      </c>
      <c r="AW24" s="96">
        <f t="shared" si="4"/>
        <v>2</v>
      </c>
      <c r="AX24" s="96">
        <f t="shared" si="4"/>
        <v>393.26666666666665</v>
      </c>
      <c r="AY24" s="96">
        <f t="shared" si="4"/>
        <v>0</v>
      </c>
      <c r="AZ24" s="96">
        <f t="shared" si="4"/>
        <v>0</v>
      </c>
      <c r="BA24" s="96">
        <f t="shared" si="4"/>
        <v>6</v>
      </c>
      <c r="BB24" s="96">
        <f t="shared" si="4"/>
        <v>1474.75</v>
      </c>
      <c r="BC24" s="96">
        <f t="shared" si="4"/>
        <v>0</v>
      </c>
      <c r="BD24" s="96">
        <f t="shared" si="4"/>
        <v>0</v>
      </c>
      <c r="BE24" s="96">
        <f t="shared" si="4"/>
        <v>0</v>
      </c>
      <c r="BF24" s="96">
        <f t="shared" si="4"/>
        <v>0</v>
      </c>
      <c r="BG24" s="96">
        <f t="shared" si="4"/>
        <v>0</v>
      </c>
      <c r="BH24" s="96">
        <f t="shared" si="4"/>
        <v>0</v>
      </c>
      <c r="BI24" s="96">
        <f t="shared" si="4"/>
        <v>0</v>
      </c>
      <c r="BJ24" s="96">
        <f t="shared" si="4"/>
        <v>0</v>
      </c>
      <c r="BK24" s="96">
        <f t="shared" si="4"/>
        <v>0</v>
      </c>
      <c r="BL24" s="96">
        <f t="shared" si="4"/>
        <v>0</v>
      </c>
      <c r="BM24" s="96">
        <f t="shared" si="4"/>
        <v>0</v>
      </c>
      <c r="BN24" s="96">
        <f t="shared" si="4"/>
        <v>0</v>
      </c>
      <c r="BO24" s="96">
        <f t="shared" ref="BO24:BR24" si="5">SUM(BO25:BO35)</f>
        <v>0</v>
      </c>
      <c r="BP24" s="96">
        <f t="shared" si="5"/>
        <v>0</v>
      </c>
      <c r="BQ24" s="96">
        <f t="shared" si="5"/>
        <v>0</v>
      </c>
      <c r="BR24" s="96">
        <f t="shared" si="5"/>
        <v>0</v>
      </c>
      <c r="BS24" s="96">
        <f t="shared" ref="BS24:CL24" si="6">SUM(BS25:BS62)</f>
        <v>0</v>
      </c>
      <c r="BT24" s="96">
        <f t="shared" si="6"/>
        <v>0</v>
      </c>
      <c r="BU24" s="96">
        <f t="shared" si="6"/>
        <v>0</v>
      </c>
      <c r="BV24" s="96">
        <f t="shared" si="6"/>
        <v>0</v>
      </c>
      <c r="BW24" s="96">
        <f t="shared" si="6"/>
        <v>0</v>
      </c>
      <c r="BX24" s="96">
        <f t="shared" si="6"/>
        <v>0</v>
      </c>
      <c r="BY24" s="96">
        <f t="shared" si="6"/>
        <v>46</v>
      </c>
      <c r="BZ24" s="96">
        <f t="shared" si="6"/>
        <v>99067.252968749992</v>
      </c>
      <c r="CA24" s="96">
        <f t="shared" si="6"/>
        <v>1</v>
      </c>
      <c r="CB24" s="96">
        <f t="shared" si="6"/>
        <v>3193.7554687499996</v>
      </c>
      <c r="CC24" s="96">
        <f t="shared" si="6"/>
        <v>117</v>
      </c>
      <c r="CD24" s="96">
        <f t="shared" si="6"/>
        <v>458704.39656249998</v>
      </c>
      <c r="CE24" s="96">
        <f t="shared" si="6"/>
        <v>246</v>
      </c>
      <c r="CF24" s="96">
        <f t="shared" si="6"/>
        <v>646067.65406249999</v>
      </c>
      <c r="CG24" s="96">
        <f t="shared" si="6"/>
        <v>0</v>
      </c>
      <c r="CH24" s="96">
        <f t="shared" si="6"/>
        <v>233327.09601562505</v>
      </c>
      <c r="CI24" s="96">
        <f t="shared" si="6"/>
        <v>0</v>
      </c>
      <c r="CJ24" s="96">
        <f t="shared" si="6"/>
        <v>309623.82934895839</v>
      </c>
      <c r="CK24" s="96">
        <f t="shared" si="6"/>
        <v>2642894.7895052084</v>
      </c>
      <c r="CL24" s="107">
        <f t="shared" si="6"/>
        <v>3849927.8485677084</v>
      </c>
    </row>
    <row r="25" spans="1:90" s="161" customFormat="1" x14ac:dyDescent="0.25">
      <c r="A25" s="147">
        <v>3</v>
      </c>
      <c r="B25" s="148" t="s">
        <v>102</v>
      </c>
      <c r="C25" s="148" t="s">
        <v>98</v>
      </c>
      <c r="D25" s="149" t="s">
        <v>82</v>
      </c>
      <c r="E25" s="150">
        <v>17.04</v>
      </c>
      <c r="F25" s="149" t="s">
        <v>96</v>
      </c>
      <c r="G25" s="151">
        <f>7.86*17697</f>
        <v>139098.42000000001</v>
      </c>
      <c r="H25" s="152">
        <f t="shared" ref="H25:H27" si="7">G25*1.25</f>
        <v>173873.02500000002</v>
      </c>
      <c r="I25" s="153"/>
      <c r="J25" s="153"/>
      <c r="K25" s="153">
        <v>2</v>
      </c>
      <c r="L25" s="153"/>
      <c r="M25" s="153"/>
      <c r="N25" s="153"/>
      <c r="O25" s="153"/>
      <c r="P25" s="153"/>
      <c r="Q25" s="153">
        <v>3</v>
      </c>
      <c r="R25" s="153"/>
      <c r="S25" s="153"/>
      <c r="T25" s="153"/>
      <c r="U25" s="153">
        <v>3</v>
      </c>
      <c r="V25" s="153"/>
      <c r="W25" s="154">
        <f t="shared" ref="W25:X40" si="8">M25+O25+Q25+S25+U25</f>
        <v>6</v>
      </c>
      <c r="X25" s="154">
        <f t="shared" si="8"/>
        <v>0</v>
      </c>
      <c r="Y25" s="153"/>
      <c r="Z25" s="153"/>
      <c r="AA25" s="153"/>
      <c r="AB25" s="153"/>
      <c r="AC25" s="154">
        <f t="shared" ref="AC25:AD40" si="9">Y25+AA25</f>
        <v>0</v>
      </c>
      <c r="AD25" s="154">
        <f t="shared" si="9"/>
        <v>0</v>
      </c>
      <c r="AE25" s="152">
        <f>H25/24*I25</f>
        <v>0</v>
      </c>
      <c r="AF25" s="152">
        <f t="shared" ref="AF25" si="10">H25/18*(K25+L25)</f>
        <v>19319.225000000002</v>
      </c>
      <c r="AG25" s="152">
        <f t="shared" ref="AG25" si="11">H25/18*(M25+N25)</f>
        <v>0</v>
      </c>
      <c r="AH25" s="152">
        <f t="shared" ref="AH25" si="12">H25/18*(O25+P25)</f>
        <v>0</v>
      </c>
      <c r="AI25" s="152">
        <f t="shared" ref="AI25" si="13">H25/18*(Q25+R25)</f>
        <v>28978.837500000001</v>
      </c>
      <c r="AJ25" s="152">
        <f t="shared" ref="AJ25" si="14">H25/18*(S25+T25)</f>
        <v>0</v>
      </c>
      <c r="AK25" s="152">
        <f t="shared" ref="AK25" si="15">H25/18*(U25+V25)</f>
        <v>28978.837500000001</v>
      </c>
      <c r="AL25" s="152">
        <f t="shared" ref="AL25" si="16">SUM(AG25:AK25)</f>
        <v>57957.675000000003</v>
      </c>
      <c r="AM25" s="152">
        <f t="shared" ref="AM25" si="17">H25/18*(Y25+Z25)</f>
        <v>0</v>
      </c>
      <c r="AN25" s="152">
        <f t="shared" ref="AN25" si="18">H25/18*(AA25+AB25)</f>
        <v>0</v>
      </c>
      <c r="AO25" s="152">
        <f t="shared" ref="AO25" si="19">AM25+AN25</f>
        <v>0</v>
      </c>
      <c r="AP25" s="152">
        <f t="shared" ref="AP25" si="20">AE25+AF25+AL25+AO25</f>
        <v>77276.900000000009</v>
      </c>
      <c r="AQ25" s="155"/>
      <c r="AR25" s="152">
        <f>(17697*50/100)/18*AQ25</f>
        <v>0</v>
      </c>
      <c r="AS25" s="155">
        <v>0</v>
      </c>
      <c r="AT25" s="152">
        <f>(17697*25/100)/18*AS25</f>
        <v>0</v>
      </c>
      <c r="AU25" s="155"/>
      <c r="AV25" s="152">
        <f>(17697*40/100)/18*AU25</f>
        <v>0</v>
      </c>
      <c r="AW25" s="155">
        <v>2</v>
      </c>
      <c r="AX25" s="152">
        <f t="shared" ref="AX25:BF40" si="21">(17697*20/100)/18*AW25</f>
        <v>393.26666666666665</v>
      </c>
      <c r="AY25" s="155"/>
      <c r="AZ25" s="152">
        <f>(17697*50/100)/18*AY25</f>
        <v>0</v>
      </c>
      <c r="BA25" s="155">
        <v>6</v>
      </c>
      <c r="BB25" s="152">
        <f>(17697*25/100)/18*BA25</f>
        <v>1474.75</v>
      </c>
      <c r="BC25" s="155"/>
      <c r="BD25" s="152">
        <f>(17697*40/100)/18*BC25</f>
        <v>0</v>
      </c>
      <c r="BE25" s="155"/>
      <c r="BF25" s="152">
        <f t="shared" si="21"/>
        <v>0</v>
      </c>
      <c r="BG25" s="155"/>
      <c r="BH25" s="152">
        <f>(17697*50/100)/18*BG25</f>
        <v>0</v>
      </c>
      <c r="BI25" s="155">
        <v>0</v>
      </c>
      <c r="BJ25" s="152">
        <f>(17697*25/100)/18*BI25</f>
        <v>0</v>
      </c>
      <c r="BK25" s="155"/>
      <c r="BL25" s="152">
        <f>(17697*40/100)/18*BK25</f>
        <v>0</v>
      </c>
      <c r="BM25" s="155">
        <v>0</v>
      </c>
      <c r="BN25" s="152">
        <f>(17697*20/100)/18*BM25</f>
        <v>0</v>
      </c>
      <c r="BO25" s="156"/>
      <c r="BP25" s="152">
        <f>(17697*60/100)*BO25</f>
        <v>0</v>
      </c>
      <c r="BQ25" s="156"/>
      <c r="BR25" s="152">
        <f>(17697*50/100)*BQ25</f>
        <v>0</v>
      </c>
      <c r="BS25" s="155"/>
      <c r="BT25" s="152">
        <f t="shared" ref="BT25" si="22">(17697*25/100)/20*BS25</f>
        <v>0</v>
      </c>
      <c r="BU25" s="155"/>
      <c r="BV25" s="152">
        <f t="shared" ref="BV25" si="23">(17697*25/100)/18*BU25</f>
        <v>0</v>
      </c>
      <c r="BW25" s="151"/>
      <c r="BX25" s="152">
        <f t="shared" ref="BX25" si="24">(17697*20/100)*BW25</f>
        <v>0</v>
      </c>
      <c r="BY25" s="157"/>
      <c r="BZ25" s="152">
        <f>H25*0.3/18*BY25</f>
        <v>0</v>
      </c>
      <c r="CA25" s="157"/>
      <c r="CB25" s="152">
        <f>H25*0.35/18*CA25</f>
        <v>0</v>
      </c>
      <c r="CC25" s="158">
        <v>8</v>
      </c>
      <c r="CD25" s="152">
        <f>H25*0.4/18*CC25</f>
        <v>30910.760000000002</v>
      </c>
      <c r="CE25" s="155">
        <f>K25+L25+W25+X25+AC25+AD25</f>
        <v>8</v>
      </c>
      <c r="CF25" s="152">
        <f>H25*0.3/18*CE25</f>
        <v>23183.070000000003</v>
      </c>
      <c r="CG25" s="152"/>
      <c r="CH25" s="152">
        <f>AP25*0.1</f>
        <v>7727.6900000000014</v>
      </c>
      <c r="CI25" s="152"/>
      <c r="CJ25" s="159">
        <f>AR25+AT25+AV25+AX25+AZ25+BB25+BD25+BF25+BH25+BJ25+BL25+BN25+BP25+BR25+BT25+BV25+BX25+CG25+CH25</f>
        <v>9595.7066666666688</v>
      </c>
      <c r="CK25" s="152">
        <f t="shared" ref="CK25:CK62" si="25">AP25+CJ25</f>
        <v>86872.606666666674</v>
      </c>
      <c r="CL25" s="160">
        <f>CK25++CF25+CD25+CB25+BZ25+CI25</f>
        <v>140966.43666666668</v>
      </c>
    </row>
    <row r="26" spans="1:90" s="161" customFormat="1" x14ac:dyDescent="0.25">
      <c r="A26" s="147">
        <v>1</v>
      </c>
      <c r="B26" s="148" t="s">
        <v>100</v>
      </c>
      <c r="C26" s="148" t="s">
        <v>86</v>
      </c>
      <c r="D26" s="149" t="s">
        <v>82</v>
      </c>
      <c r="E26" s="150">
        <v>36.08</v>
      </c>
      <c r="F26" s="149" t="s">
        <v>96</v>
      </c>
      <c r="G26" s="151">
        <f>8.115*17697</f>
        <v>143611.155</v>
      </c>
      <c r="H26" s="152">
        <f t="shared" si="7"/>
        <v>179513.94375000001</v>
      </c>
      <c r="I26" s="153"/>
      <c r="J26" s="153"/>
      <c r="K26" s="153"/>
      <c r="L26" s="153"/>
      <c r="M26" s="153"/>
      <c r="N26" s="153"/>
      <c r="O26" s="153">
        <v>3</v>
      </c>
      <c r="P26" s="153">
        <v>2</v>
      </c>
      <c r="Q26" s="153">
        <v>3</v>
      </c>
      <c r="R26" s="153">
        <v>1</v>
      </c>
      <c r="S26" s="153"/>
      <c r="T26" s="153"/>
      <c r="U26" s="153">
        <v>4</v>
      </c>
      <c r="V26" s="153">
        <v>1</v>
      </c>
      <c r="W26" s="154">
        <f t="shared" si="8"/>
        <v>10</v>
      </c>
      <c r="X26" s="154">
        <f t="shared" si="8"/>
        <v>4</v>
      </c>
      <c r="Y26" s="153"/>
      <c r="Z26" s="153"/>
      <c r="AA26" s="153">
        <v>2</v>
      </c>
      <c r="AB26" s="153">
        <v>1</v>
      </c>
      <c r="AC26" s="154">
        <f t="shared" si="9"/>
        <v>2</v>
      </c>
      <c r="AD26" s="154">
        <f t="shared" si="9"/>
        <v>1</v>
      </c>
      <c r="AE26" s="152">
        <f t="shared" ref="AE26:AE29" si="26">H26/24*I26</f>
        <v>0</v>
      </c>
      <c r="AF26" s="152">
        <f t="shared" ref="AF26:AF29" si="27">H26/18*(K26+L26)</f>
        <v>0</v>
      </c>
      <c r="AG26" s="152">
        <f t="shared" ref="AG26:AG29" si="28">H26/18*(M26+N26)</f>
        <v>0</v>
      </c>
      <c r="AH26" s="152">
        <f t="shared" ref="AH26:AH29" si="29">H26/18*(O26+P26)</f>
        <v>49864.984375</v>
      </c>
      <c r="AI26" s="152">
        <f t="shared" ref="AI26:AI29" si="30">H26/18*(Q26+R26)</f>
        <v>39891.987500000003</v>
      </c>
      <c r="AJ26" s="152">
        <f t="shared" ref="AJ26:AJ29" si="31">H26/18*(S26+T26)</f>
        <v>0</v>
      </c>
      <c r="AK26" s="152">
        <f t="shared" ref="AK26:AK29" si="32">H26/18*(U26+V26)</f>
        <v>49864.984375</v>
      </c>
      <c r="AL26" s="152">
        <f t="shared" ref="AL26:AL29" si="33">SUM(AG26:AK26)</f>
        <v>139621.95624999999</v>
      </c>
      <c r="AM26" s="152">
        <f t="shared" ref="AM26:AM29" si="34">H26/18*(Y26+Z26)</f>
        <v>0</v>
      </c>
      <c r="AN26" s="152">
        <f t="shared" ref="AN26:AN29" si="35">H26/18*(AA26+AB26)</f>
        <v>29918.990625000002</v>
      </c>
      <c r="AO26" s="152">
        <f t="shared" ref="AO26:AO29" si="36">AM26+AN26</f>
        <v>29918.990625000002</v>
      </c>
      <c r="AP26" s="152">
        <f t="shared" ref="AP26:AP29" si="37">AE26+AF26+AL26+AO26</f>
        <v>169540.94687499999</v>
      </c>
      <c r="AQ26" s="155"/>
      <c r="AR26" s="152">
        <f t="shared" ref="AR26:AZ40" si="38">(17697*50/100)/18*AQ26</f>
        <v>0</v>
      </c>
      <c r="AS26" s="155"/>
      <c r="AT26" s="152">
        <f t="shared" ref="AT26:BB40" si="39">(17697*25/100)/18*AS26</f>
        <v>0</v>
      </c>
      <c r="AU26" s="155"/>
      <c r="AV26" s="152">
        <f t="shared" ref="AV26:BD40" si="40">(17697*40/100)/18*AU26</f>
        <v>0</v>
      </c>
      <c r="AW26" s="155"/>
      <c r="AX26" s="152">
        <f t="shared" si="21"/>
        <v>0</v>
      </c>
      <c r="AY26" s="155"/>
      <c r="AZ26" s="152">
        <f t="shared" si="38"/>
        <v>0</v>
      </c>
      <c r="BA26" s="155"/>
      <c r="BB26" s="152">
        <f t="shared" si="39"/>
        <v>0</v>
      </c>
      <c r="BC26" s="155"/>
      <c r="BD26" s="152">
        <f t="shared" si="40"/>
        <v>0</v>
      </c>
      <c r="BE26" s="155"/>
      <c r="BF26" s="152">
        <f t="shared" si="21"/>
        <v>0</v>
      </c>
      <c r="BG26" s="155"/>
      <c r="BH26" s="152">
        <f t="shared" ref="BH26:BH40" si="41">(17697*50/100)/18*BG26</f>
        <v>0</v>
      </c>
      <c r="BI26" s="155"/>
      <c r="BJ26" s="152">
        <f t="shared" ref="BJ26:BJ40" si="42">(17697*25/100)/18*BI26</f>
        <v>0</v>
      </c>
      <c r="BK26" s="155"/>
      <c r="BL26" s="152">
        <f t="shared" ref="BL26:BL40" si="43">(17697*40/100)/18*BK26</f>
        <v>0</v>
      </c>
      <c r="BM26" s="155"/>
      <c r="BN26" s="152">
        <f t="shared" ref="BN26:BN39" si="44">(17697*20/100)/18*BM26</f>
        <v>0</v>
      </c>
      <c r="BO26" s="156"/>
      <c r="BP26" s="152">
        <f t="shared" ref="BP26:BP62" si="45">(17697*60/100)*BO26</f>
        <v>0</v>
      </c>
      <c r="BQ26" s="156"/>
      <c r="BR26" s="152">
        <f t="shared" ref="BR26:BR62" si="46">(17697*50/100)*BQ26</f>
        <v>0</v>
      </c>
      <c r="BS26" s="155"/>
      <c r="BT26" s="152">
        <f>(17697*25/100)/20*BS26</f>
        <v>0</v>
      </c>
      <c r="BU26" s="155"/>
      <c r="BV26" s="152">
        <f>(17697*25/100)/18*BU26</f>
        <v>0</v>
      </c>
      <c r="BW26" s="151"/>
      <c r="BX26" s="152">
        <f>(17697*20/100)*BW26</f>
        <v>0</v>
      </c>
      <c r="BY26" s="157"/>
      <c r="BZ26" s="152">
        <f t="shared" ref="BZ26:BZ62" si="47">H26*0.3/18*BY26</f>
        <v>0</v>
      </c>
      <c r="CA26" s="157"/>
      <c r="CB26" s="152">
        <f t="shared" ref="CB26:CB62" si="48">H26*0.35/18*CA26</f>
        <v>0</v>
      </c>
      <c r="CC26" s="158">
        <f>W26+X26+AC26+AD26</f>
        <v>17</v>
      </c>
      <c r="CD26" s="152">
        <f t="shared" ref="CD26:CD62" si="49">H26*0.4/18*CC26</f>
        <v>67816.378750000003</v>
      </c>
      <c r="CE26" s="155">
        <f t="shared" ref="CE26:CE62" si="50">K26+L26+W26+X26+AC26+AD26</f>
        <v>17</v>
      </c>
      <c r="CF26" s="152">
        <f t="shared" ref="CF26:CF62" si="51">H26*0.3/18*CE26</f>
        <v>50862.284062500003</v>
      </c>
      <c r="CG26" s="152"/>
      <c r="CH26" s="152">
        <f t="shared" ref="CH26:CH62" si="52">AP26*0.1</f>
        <v>16954.094687500001</v>
      </c>
      <c r="CI26" s="152"/>
      <c r="CJ26" s="159">
        <f t="shared" ref="CJ26:CJ62" si="53">AR26+AT26+AV26+AX26+AZ26+BB26+BD26+BF26+BH26+BJ26+BL26+BN26+BP26+BR26+BT26+BV26+BX26+CG26+CH26</f>
        <v>16954.094687500001</v>
      </c>
      <c r="CK26" s="152">
        <f t="shared" si="25"/>
        <v>186495.0415625</v>
      </c>
      <c r="CL26" s="160">
        <f t="shared" ref="CL26:CL62" si="54">CK26++CF26+CD26+CB26+BZ26+CI26</f>
        <v>305173.70437499997</v>
      </c>
    </row>
    <row r="27" spans="1:90" s="161" customFormat="1" x14ac:dyDescent="0.25">
      <c r="A27" s="147"/>
      <c r="B27" s="148"/>
      <c r="C27" s="148" t="s">
        <v>145</v>
      </c>
      <c r="D27" s="149" t="s">
        <v>82</v>
      </c>
      <c r="E27" s="150">
        <v>36.08</v>
      </c>
      <c r="F27" s="149" t="s">
        <v>93</v>
      </c>
      <c r="G27" s="151">
        <f>7.095*17697</f>
        <v>125560.215</v>
      </c>
      <c r="H27" s="152">
        <f t="shared" si="7"/>
        <v>156950.26874999999</v>
      </c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>
        <v>1</v>
      </c>
      <c r="W27" s="154">
        <f t="shared" si="8"/>
        <v>0</v>
      </c>
      <c r="X27" s="154">
        <f t="shared" si="8"/>
        <v>1</v>
      </c>
      <c r="Y27" s="153"/>
      <c r="Z27" s="153"/>
      <c r="AA27" s="153"/>
      <c r="AB27" s="153"/>
      <c r="AC27" s="154">
        <f t="shared" si="9"/>
        <v>0</v>
      </c>
      <c r="AD27" s="154">
        <f t="shared" si="9"/>
        <v>0</v>
      </c>
      <c r="AE27" s="152">
        <f t="shared" si="26"/>
        <v>0</v>
      </c>
      <c r="AF27" s="152">
        <f t="shared" si="27"/>
        <v>0</v>
      </c>
      <c r="AG27" s="152">
        <f t="shared" si="28"/>
        <v>0</v>
      </c>
      <c r="AH27" s="152">
        <f t="shared" si="29"/>
        <v>0</v>
      </c>
      <c r="AI27" s="152">
        <f t="shared" si="30"/>
        <v>0</v>
      </c>
      <c r="AJ27" s="152">
        <f t="shared" si="31"/>
        <v>0</v>
      </c>
      <c r="AK27" s="152">
        <f t="shared" si="32"/>
        <v>8719.4593749999985</v>
      </c>
      <c r="AL27" s="152">
        <f t="shared" si="33"/>
        <v>8719.4593749999985</v>
      </c>
      <c r="AM27" s="152">
        <f t="shared" si="34"/>
        <v>0</v>
      </c>
      <c r="AN27" s="152">
        <f t="shared" si="35"/>
        <v>0</v>
      </c>
      <c r="AO27" s="152">
        <f t="shared" si="36"/>
        <v>0</v>
      </c>
      <c r="AP27" s="152">
        <f t="shared" si="37"/>
        <v>8719.4593749999985</v>
      </c>
      <c r="AQ27" s="155"/>
      <c r="AR27" s="152">
        <f t="shared" si="38"/>
        <v>0</v>
      </c>
      <c r="AS27" s="155"/>
      <c r="AT27" s="152">
        <f t="shared" si="39"/>
        <v>0</v>
      </c>
      <c r="AU27" s="155"/>
      <c r="AV27" s="152">
        <f t="shared" si="40"/>
        <v>0</v>
      </c>
      <c r="AW27" s="155"/>
      <c r="AX27" s="152">
        <f t="shared" si="21"/>
        <v>0</v>
      </c>
      <c r="AY27" s="155"/>
      <c r="AZ27" s="152">
        <f t="shared" si="38"/>
        <v>0</v>
      </c>
      <c r="BA27" s="155"/>
      <c r="BB27" s="152">
        <f t="shared" si="39"/>
        <v>0</v>
      </c>
      <c r="BC27" s="155"/>
      <c r="BD27" s="152">
        <f t="shared" si="40"/>
        <v>0</v>
      </c>
      <c r="BE27" s="155"/>
      <c r="BF27" s="152">
        <f t="shared" si="21"/>
        <v>0</v>
      </c>
      <c r="BG27" s="155"/>
      <c r="BH27" s="152">
        <f t="shared" si="41"/>
        <v>0</v>
      </c>
      <c r="BI27" s="155"/>
      <c r="BJ27" s="152">
        <f t="shared" si="42"/>
        <v>0</v>
      </c>
      <c r="BK27" s="155"/>
      <c r="BL27" s="152">
        <f t="shared" si="43"/>
        <v>0</v>
      </c>
      <c r="BM27" s="155"/>
      <c r="BN27" s="152">
        <f t="shared" si="44"/>
        <v>0</v>
      </c>
      <c r="BO27" s="156"/>
      <c r="BP27" s="152">
        <f t="shared" si="45"/>
        <v>0</v>
      </c>
      <c r="BQ27" s="156"/>
      <c r="BR27" s="152">
        <f t="shared" si="46"/>
        <v>0</v>
      </c>
      <c r="BS27" s="155"/>
      <c r="BT27" s="152">
        <f t="shared" ref="BT27:BT62" si="55">(17697*25/100)/20*BS27</f>
        <v>0</v>
      </c>
      <c r="BU27" s="155"/>
      <c r="BV27" s="152">
        <f t="shared" ref="BV27:BV62" si="56">(17697*25/100)/18*BU27</f>
        <v>0</v>
      </c>
      <c r="BW27" s="151"/>
      <c r="BX27" s="152">
        <f t="shared" ref="BX27:BX62" si="57">(17697*20/100)*BW27</f>
        <v>0</v>
      </c>
      <c r="BY27" s="157"/>
      <c r="BZ27" s="152">
        <f t="shared" si="47"/>
        <v>0</v>
      </c>
      <c r="CA27" s="157"/>
      <c r="CB27" s="152">
        <f t="shared" si="48"/>
        <v>0</v>
      </c>
      <c r="CC27" s="158"/>
      <c r="CD27" s="152">
        <f t="shared" si="49"/>
        <v>0</v>
      </c>
      <c r="CE27" s="155">
        <f t="shared" si="50"/>
        <v>1</v>
      </c>
      <c r="CF27" s="152">
        <f t="shared" si="51"/>
        <v>2615.8378124999999</v>
      </c>
      <c r="CG27" s="152"/>
      <c r="CH27" s="152">
        <f t="shared" si="52"/>
        <v>871.9459374999999</v>
      </c>
      <c r="CI27" s="152"/>
      <c r="CJ27" s="159">
        <f t="shared" si="53"/>
        <v>871.9459374999999</v>
      </c>
      <c r="CK27" s="152">
        <f t="shared" si="25"/>
        <v>9591.4053124999991</v>
      </c>
      <c r="CL27" s="160">
        <f t="shared" si="54"/>
        <v>12207.243124999999</v>
      </c>
    </row>
    <row r="28" spans="1:90" s="161" customFormat="1" x14ac:dyDescent="0.25">
      <c r="A28" s="147"/>
      <c r="B28" s="148"/>
      <c r="C28" s="148" t="s">
        <v>76</v>
      </c>
      <c r="D28" s="149" t="s">
        <v>82</v>
      </c>
      <c r="E28" s="150">
        <v>36.08</v>
      </c>
      <c r="F28" s="149" t="s">
        <v>93</v>
      </c>
      <c r="G28" s="151">
        <f t="shared" ref="G28:G29" si="58">7.095*17697</f>
        <v>125560.215</v>
      </c>
      <c r="H28" s="152">
        <f t="shared" ref="H28:H62" si="59">G28*1.25</f>
        <v>156950.26874999999</v>
      </c>
      <c r="I28" s="153"/>
      <c r="J28" s="153"/>
      <c r="K28" s="153"/>
      <c r="L28" s="153"/>
      <c r="M28" s="153"/>
      <c r="N28" s="153"/>
      <c r="O28" s="153">
        <v>1</v>
      </c>
      <c r="P28" s="153"/>
      <c r="Q28" s="153">
        <v>1</v>
      </c>
      <c r="R28" s="153"/>
      <c r="S28" s="153"/>
      <c r="T28" s="153"/>
      <c r="U28" s="153">
        <v>1</v>
      </c>
      <c r="V28" s="153"/>
      <c r="W28" s="154">
        <f t="shared" si="8"/>
        <v>3</v>
      </c>
      <c r="X28" s="154">
        <f t="shared" si="8"/>
        <v>0</v>
      </c>
      <c r="Y28" s="153"/>
      <c r="Z28" s="153"/>
      <c r="AA28" s="153">
        <v>1</v>
      </c>
      <c r="AB28" s="153"/>
      <c r="AC28" s="154">
        <f t="shared" si="9"/>
        <v>1</v>
      </c>
      <c r="AD28" s="154">
        <f t="shared" si="9"/>
        <v>0</v>
      </c>
      <c r="AE28" s="152">
        <f t="shared" si="26"/>
        <v>0</v>
      </c>
      <c r="AF28" s="152">
        <f t="shared" si="27"/>
        <v>0</v>
      </c>
      <c r="AG28" s="152">
        <f t="shared" si="28"/>
        <v>0</v>
      </c>
      <c r="AH28" s="152">
        <f t="shared" si="29"/>
        <v>8719.4593749999985</v>
      </c>
      <c r="AI28" s="152">
        <f t="shared" si="30"/>
        <v>8719.4593749999985</v>
      </c>
      <c r="AJ28" s="152">
        <f t="shared" si="31"/>
        <v>0</v>
      </c>
      <c r="AK28" s="152">
        <f t="shared" si="32"/>
        <v>8719.4593749999985</v>
      </c>
      <c r="AL28" s="152">
        <f t="shared" si="33"/>
        <v>26158.378124999996</v>
      </c>
      <c r="AM28" s="152">
        <f t="shared" si="34"/>
        <v>0</v>
      </c>
      <c r="AN28" s="152">
        <f t="shared" si="35"/>
        <v>8719.4593749999985</v>
      </c>
      <c r="AO28" s="152">
        <f t="shared" si="36"/>
        <v>8719.4593749999985</v>
      </c>
      <c r="AP28" s="152">
        <f t="shared" si="37"/>
        <v>34877.837499999994</v>
      </c>
      <c r="AQ28" s="155"/>
      <c r="AR28" s="152"/>
      <c r="AS28" s="155"/>
      <c r="AT28" s="152"/>
      <c r="AU28" s="155"/>
      <c r="AV28" s="152"/>
      <c r="AW28" s="155"/>
      <c r="AX28" s="152"/>
      <c r="AY28" s="155"/>
      <c r="AZ28" s="152"/>
      <c r="BA28" s="155"/>
      <c r="BB28" s="152"/>
      <c r="BC28" s="155"/>
      <c r="BD28" s="152"/>
      <c r="BE28" s="155"/>
      <c r="BF28" s="152">
        <f t="shared" si="21"/>
        <v>0</v>
      </c>
      <c r="BG28" s="155"/>
      <c r="BH28" s="152"/>
      <c r="BI28" s="155"/>
      <c r="BJ28" s="152"/>
      <c r="BK28" s="155"/>
      <c r="BL28" s="152"/>
      <c r="BM28" s="155"/>
      <c r="BN28" s="152"/>
      <c r="BO28" s="156"/>
      <c r="BP28" s="152"/>
      <c r="BQ28" s="156"/>
      <c r="BR28" s="152"/>
      <c r="BS28" s="155"/>
      <c r="BT28" s="152"/>
      <c r="BU28" s="155"/>
      <c r="BV28" s="152"/>
      <c r="BW28" s="151"/>
      <c r="BX28" s="152"/>
      <c r="BY28" s="157"/>
      <c r="BZ28" s="152"/>
      <c r="CA28" s="157"/>
      <c r="CB28" s="152"/>
      <c r="CC28" s="158"/>
      <c r="CD28" s="152">
        <f t="shared" si="49"/>
        <v>0</v>
      </c>
      <c r="CE28" s="155">
        <f t="shared" si="50"/>
        <v>4</v>
      </c>
      <c r="CF28" s="152">
        <f t="shared" si="51"/>
        <v>10463.35125</v>
      </c>
      <c r="CG28" s="152"/>
      <c r="CH28" s="152">
        <f t="shared" si="52"/>
        <v>3487.7837499999996</v>
      </c>
      <c r="CI28" s="152"/>
      <c r="CJ28" s="159">
        <f t="shared" si="53"/>
        <v>3487.7837499999996</v>
      </c>
      <c r="CK28" s="152">
        <f t="shared" si="25"/>
        <v>38365.621249999997</v>
      </c>
      <c r="CL28" s="160">
        <f t="shared" si="54"/>
        <v>48828.972499999996</v>
      </c>
    </row>
    <row r="29" spans="1:90" s="161" customFormat="1" x14ac:dyDescent="0.25">
      <c r="A29" s="147"/>
      <c r="B29" s="148"/>
      <c r="C29" s="148" t="s">
        <v>127</v>
      </c>
      <c r="D29" s="149"/>
      <c r="E29" s="150">
        <v>36.08</v>
      </c>
      <c r="F29" s="149" t="s">
        <v>93</v>
      </c>
      <c r="G29" s="151">
        <f t="shared" si="58"/>
        <v>125560.215</v>
      </c>
      <c r="H29" s="152">
        <f t="shared" si="59"/>
        <v>156950.26874999999</v>
      </c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4">
        <f t="shared" si="8"/>
        <v>0</v>
      </c>
      <c r="X29" s="154">
        <f t="shared" si="8"/>
        <v>0</v>
      </c>
      <c r="Y29" s="153"/>
      <c r="Z29" s="153"/>
      <c r="AA29" s="153">
        <v>2</v>
      </c>
      <c r="AB29" s="153">
        <v>1</v>
      </c>
      <c r="AC29" s="154">
        <f t="shared" si="9"/>
        <v>2</v>
      </c>
      <c r="AD29" s="154">
        <f t="shared" si="9"/>
        <v>1</v>
      </c>
      <c r="AE29" s="152">
        <f t="shared" si="26"/>
        <v>0</v>
      </c>
      <c r="AF29" s="152">
        <f t="shared" si="27"/>
        <v>0</v>
      </c>
      <c r="AG29" s="152">
        <f t="shared" si="28"/>
        <v>0</v>
      </c>
      <c r="AH29" s="152">
        <f t="shared" si="29"/>
        <v>0</v>
      </c>
      <c r="AI29" s="152">
        <f t="shared" si="30"/>
        <v>0</v>
      </c>
      <c r="AJ29" s="152">
        <f t="shared" si="31"/>
        <v>0</v>
      </c>
      <c r="AK29" s="152">
        <f t="shared" si="32"/>
        <v>0</v>
      </c>
      <c r="AL29" s="152">
        <f t="shared" si="33"/>
        <v>0</v>
      </c>
      <c r="AM29" s="152">
        <f t="shared" si="34"/>
        <v>0</v>
      </c>
      <c r="AN29" s="152">
        <f t="shared" si="35"/>
        <v>26158.378124999996</v>
      </c>
      <c r="AO29" s="152">
        <f t="shared" si="36"/>
        <v>26158.378124999996</v>
      </c>
      <c r="AP29" s="152">
        <f t="shared" si="37"/>
        <v>26158.378124999996</v>
      </c>
      <c r="AQ29" s="155"/>
      <c r="AR29" s="152">
        <f t="shared" si="38"/>
        <v>0</v>
      </c>
      <c r="AS29" s="155"/>
      <c r="AT29" s="152">
        <f t="shared" si="39"/>
        <v>0</v>
      </c>
      <c r="AU29" s="155"/>
      <c r="AV29" s="152">
        <f t="shared" si="40"/>
        <v>0</v>
      </c>
      <c r="AW29" s="155"/>
      <c r="AX29" s="152">
        <f t="shared" si="21"/>
        <v>0</v>
      </c>
      <c r="AY29" s="155"/>
      <c r="AZ29" s="152">
        <f t="shared" si="38"/>
        <v>0</v>
      </c>
      <c r="BA29" s="155"/>
      <c r="BB29" s="152">
        <f t="shared" si="39"/>
        <v>0</v>
      </c>
      <c r="BC29" s="155"/>
      <c r="BD29" s="152">
        <f t="shared" si="40"/>
        <v>0</v>
      </c>
      <c r="BE29" s="155"/>
      <c r="BF29" s="152">
        <f t="shared" si="21"/>
        <v>0</v>
      </c>
      <c r="BG29" s="155"/>
      <c r="BH29" s="152">
        <f t="shared" si="41"/>
        <v>0</v>
      </c>
      <c r="BI29" s="155"/>
      <c r="BJ29" s="152">
        <f t="shared" si="42"/>
        <v>0</v>
      </c>
      <c r="BK29" s="155"/>
      <c r="BL29" s="152">
        <f t="shared" si="43"/>
        <v>0</v>
      </c>
      <c r="BM29" s="155"/>
      <c r="BN29" s="152">
        <f t="shared" si="44"/>
        <v>0</v>
      </c>
      <c r="BO29" s="156"/>
      <c r="BP29" s="152">
        <f t="shared" si="45"/>
        <v>0</v>
      </c>
      <c r="BQ29" s="156"/>
      <c r="BR29" s="152">
        <f t="shared" si="46"/>
        <v>0</v>
      </c>
      <c r="BS29" s="155"/>
      <c r="BT29" s="152"/>
      <c r="BU29" s="155"/>
      <c r="BV29" s="152"/>
      <c r="BW29" s="151"/>
      <c r="BX29" s="152"/>
      <c r="BY29" s="157"/>
      <c r="BZ29" s="152">
        <f t="shared" si="47"/>
        <v>0</v>
      </c>
      <c r="CA29" s="157"/>
      <c r="CB29" s="152">
        <f t="shared" si="48"/>
        <v>0</v>
      </c>
      <c r="CC29" s="158"/>
      <c r="CD29" s="152">
        <f t="shared" si="49"/>
        <v>0</v>
      </c>
      <c r="CE29" s="155">
        <f t="shared" si="50"/>
        <v>3</v>
      </c>
      <c r="CF29" s="152">
        <f t="shared" si="51"/>
        <v>7847.5134374999998</v>
      </c>
      <c r="CG29" s="152"/>
      <c r="CH29" s="152">
        <f t="shared" si="52"/>
        <v>2615.8378124999999</v>
      </c>
      <c r="CI29" s="152"/>
      <c r="CJ29" s="159">
        <f t="shared" si="53"/>
        <v>2615.8378124999999</v>
      </c>
      <c r="CK29" s="152">
        <f t="shared" si="25"/>
        <v>28774.215937499997</v>
      </c>
      <c r="CL29" s="160">
        <f t="shared" si="54"/>
        <v>36621.729374999995</v>
      </c>
    </row>
    <row r="30" spans="1:90" s="161" customFormat="1" x14ac:dyDescent="0.25">
      <c r="A30" s="147">
        <v>2</v>
      </c>
      <c r="B30" s="148" t="s">
        <v>101</v>
      </c>
      <c r="C30" s="148" t="s">
        <v>98</v>
      </c>
      <c r="D30" s="149" t="s">
        <v>82</v>
      </c>
      <c r="E30" s="150">
        <v>32.020000000000003</v>
      </c>
      <c r="F30" s="149" t="s">
        <v>96</v>
      </c>
      <c r="G30" s="151">
        <f>8.115*17697</f>
        <v>143611.155</v>
      </c>
      <c r="H30" s="152">
        <f t="shared" si="59"/>
        <v>179513.94375000001</v>
      </c>
      <c r="I30" s="153"/>
      <c r="J30" s="153"/>
      <c r="K30" s="153">
        <v>6</v>
      </c>
      <c r="L30" s="153"/>
      <c r="M30" s="153"/>
      <c r="N30" s="153"/>
      <c r="O30" s="153">
        <v>3</v>
      </c>
      <c r="P30" s="153"/>
      <c r="Q30" s="153"/>
      <c r="R30" s="153"/>
      <c r="S30" s="153"/>
      <c r="T30" s="153"/>
      <c r="U30" s="153"/>
      <c r="V30" s="153"/>
      <c r="W30" s="154">
        <f t="shared" si="8"/>
        <v>3</v>
      </c>
      <c r="X30" s="154">
        <f t="shared" si="8"/>
        <v>0</v>
      </c>
      <c r="Y30" s="153"/>
      <c r="Z30" s="153"/>
      <c r="AA30" s="153">
        <v>2</v>
      </c>
      <c r="AB30" s="153"/>
      <c r="AC30" s="154">
        <f t="shared" si="9"/>
        <v>2</v>
      </c>
      <c r="AD30" s="154">
        <f t="shared" si="9"/>
        <v>0</v>
      </c>
      <c r="AE30" s="152">
        <f t="shared" ref="AE30:AE50" si="60">H30/24*I30</f>
        <v>0</v>
      </c>
      <c r="AF30" s="152">
        <f t="shared" ref="AF30:AF50" si="61">H30/18*(K30+L30)</f>
        <v>59837.981250000004</v>
      </c>
      <c r="AG30" s="152">
        <f t="shared" ref="AG30:AG50" si="62">H30/18*(M30+N30)</f>
        <v>0</v>
      </c>
      <c r="AH30" s="152">
        <f t="shared" ref="AH30:AH50" si="63">H30/18*(O30+P30)</f>
        <v>29918.990625000002</v>
      </c>
      <c r="AI30" s="152">
        <f t="shared" ref="AI30:AI50" si="64">H30/18*(Q30+R30)</f>
        <v>0</v>
      </c>
      <c r="AJ30" s="152">
        <f t="shared" ref="AJ30:AJ50" si="65">H30/18*(S30+T30)</f>
        <v>0</v>
      </c>
      <c r="AK30" s="152">
        <f t="shared" ref="AK30:AK50" si="66">H30/18*(U30+V30)</f>
        <v>0</v>
      </c>
      <c r="AL30" s="152">
        <f t="shared" ref="AL30:AL50" si="67">SUM(AG30:AK30)</f>
        <v>29918.990625000002</v>
      </c>
      <c r="AM30" s="152">
        <f t="shared" ref="AM30:AM50" si="68">H30/18*(Y30+Z30)</f>
        <v>0</v>
      </c>
      <c r="AN30" s="152">
        <f t="shared" ref="AN30:AN50" si="69">H30/18*(AA30+AB30)</f>
        <v>19945.993750000001</v>
      </c>
      <c r="AO30" s="152">
        <f t="shared" ref="AO30:AO50" si="70">AM30+AN30</f>
        <v>19945.993750000001</v>
      </c>
      <c r="AP30" s="152">
        <f t="shared" ref="AP30:AP50" si="71">AE30+AF30+AL30+AO30</f>
        <v>109702.96562500001</v>
      </c>
      <c r="AQ30" s="155"/>
      <c r="AR30" s="152">
        <f t="shared" si="38"/>
        <v>0</v>
      </c>
      <c r="AS30" s="155"/>
      <c r="AT30" s="152">
        <f t="shared" si="39"/>
        <v>0</v>
      </c>
      <c r="AU30" s="155"/>
      <c r="AV30" s="152">
        <f t="shared" si="40"/>
        <v>0</v>
      </c>
      <c r="AW30" s="155">
        <v>6</v>
      </c>
      <c r="AX30" s="152">
        <f t="shared" si="21"/>
        <v>1179.8</v>
      </c>
      <c r="AY30" s="155"/>
      <c r="AZ30" s="152">
        <v>3</v>
      </c>
      <c r="BA30" s="155">
        <v>3</v>
      </c>
      <c r="BB30" s="152">
        <f t="shared" si="39"/>
        <v>737.375</v>
      </c>
      <c r="BC30" s="155"/>
      <c r="BD30" s="152">
        <f t="shared" si="40"/>
        <v>0</v>
      </c>
      <c r="BE30" s="155"/>
      <c r="BF30" s="152">
        <f t="shared" si="21"/>
        <v>0</v>
      </c>
      <c r="BG30" s="155"/>
      <c r="BH30" s="152">
        <f t="shared" si="41"/>
        <v>0</v>
      </c>
      <c r="BI30" s="155">
        <v>2</v>
      </c>
      <c r="BJ30" s="152">
        <f t="shared" si="42"/>
        <v>491.58333333333331</v>
      </c>
      <c r="BK30" s="155"/>
      <c r="BL30" s="152">
        <f t="shared" si="43"/>
        <v>0</v>
      </c>
      <c r="BM30" s="155"/>
      <c r="BN30" s="152">
        <f t="shared" si="44"/>
        <v>0</v>
      </c>
      <c r="BO30" s="156"/>
      <c r="BP30" s="152">
        <f t="shared" si="45"/>
        <v>0</v>
      </c>
      <c r="BQ30" s="156"/>
      <c r="BR30" s="152">
        <f t="shared" si="46"/>
        <v>0</v>
      </c>
      <c r="BS30" s="155"/>
      <c r="BT30" s="152">
        <f t="shared" si="55"/>
        <v>0</v>
      </c>
      <c r="BU30" s="155"/>
      <c r="BV30" s="152">
        <f t="shared" si="56"/>
        <v>0</v>
      </c>
      <c r="BW30" s="151"/>
      <c r="BX30" s="152">
        <f t="shared" si="57"/>
        <v>0</v>
      </c>
      <c r="BY30" s="157"/>
      <c r="BZ30" s="152">
        <f t="shared" si="47"/>
        <v>0</v>
      </c>
      <c r="CA30" s="157"/>
      <c r="CB30" s="152">
        <f t="shared" si="48"/>
        <v>0</v>
      </c>
      <c r="CC30" s="158">
        <v>11</v>
      </c>
      <c r="CD30" s="152">
        <f t="shared" si="49"/>
        <v>43881.186249999999</v>
      </c>
      <c r="CE30" s="155">
        <f t="shared" si="50"/>
        <v>11</v>
      </c>
      <c r="CF30" s="152">
        <f t="shared" si="51"/>
        <v>32910.889687499999</v>
      </c>
      <c r="CG30" s="152"/>
      <c r="CH30" s="152">
        <f t="shared" si="52"/>
        <v>10970.296562500002</v>
      </c>
      <c r="CI30" s="152"/>
      <c r="CJ30" s="159">
        <f t="shared" si="53"/>
        <v>13382.054895833335</v>
      </c>
      <c r="CK30" s="152">
        <f t="shared" si="25"/>
        <v>123085.02052083335</v>
      </c>
      <c r="CL30" s="160">
        <f t="shared" si="54"/>
        <v>199877.09645833334</v>
      </c>
    </row>
    <row r="31" spans="1:90" s="161" customFormat="1" x14ac:dyDescent="0.25">
      <c r="A31" s="147"/>
      <c r="B31" s="148"/>
      <c r="C31" s="148" t="s">
        <v>99</v>
      </c>
      <c r="D31" s="149" t="s">
        <v>82</v>
      </c>
      <c r="E31" s="150">
        <v>32.020000000000003</v>
      </c>
      <c r="F31" s="149" t="s">
        <v>93</v>
      </c>
      <c r="G31" s="151">
        <f>7.095*17697</f>
        <v>125560.215</v>
      </c>
      <c r="H31" s="152">
        <f t="shared" si="59"/>
        <v>156950.26874999999</v>
      </c>
      <c r="I31" s="153"/>
      <c r="J31" s="153"/>
      <c r="K31" s="153"/>
      <c r="L31" s="153">
        <v>4</v>
      </c>
      <c r="M31" s="153"/>
      <c r="N31" s="153"/>
      <c r="O31" s="153"/>
      <c r="P31" s="153">
        <v>1</v>
      </c>
      <c r="Q31" s="153"/>
      <c r="R31" s="153"/>
      <c r="S31" s="153"/>
      <c r="T31" s="153"/>
      <c r="U31" s="153"/>
      <c r="V31" s="153"/>
      <c r="W31" s="154">
        <f t="shared" si="8"/>
        <v>0</v>
      </c>
      <c r="X31" s="154">
        <f t="shared" si="8"/>
        <v>1</v>
      </c>
      <c r="Y31" s="153"/>
      <c r="Z31" s="153"/>
      <c r="AA31" s="153"/>
      <c r="AB31" s="153"/>
      <c r="AC31" s="154">
        <f t="shared" si="9"/>
        <v>0</v>
      </c>
      <c r="AD31" s="154">
        <f t="shared" si="9"/>
        <v>0</v>
      </c>
      <c r="AE31" s="152">
        <f t="shared" si="60"/>
        <v>0</v>
      </c>
      <c r="AF31" s="152">
        <f t="shared" si="61"/>
        <v>34877.837499999994</v>
      </c>
      <c r="AG31" s="152">
        <f t="shared" si="62"/>
        <v>0</v>
      </c>
      <c r="AH31" s="152">
        <f t="shared" si="63"/>
        <v>8719.4593749999985</v>
      </c>
      <c r="AI31" s="152">
        <f t="shared" si="64"/>
        <v>0</v>
      </c>
      <c r="AJ31" s="152">
        <f t="shared" si="65"/>
        <v>0</v>
      </c>
      <c r="AK31" s="152">
        <f t="shared" si="66"/>
        <v>0</v>
      </c>
      <c r="AL31" s="152">
        <f t="shared" si="67"/>
        <v>8719.4593749999985</v>
      </c>
      <c r="AM31" s="152">
        <f t="shared" si="68"/>
        <v>0</v>
      </c>
      <c r="AN31" s="152">
        <f t="shared" si="69"/>
        <v>0</v>
      </c>
      <c r="AO31" s="152">
        <f t="shared" si="70"/>
        <v>0</v>
      </c>
      <c r="AP31" s="152">
        <f t="shared" si="71"/>
        <v>43597.296874999993</v>
      </c>
      <c r="AQ31" s="155"/>
      <c r="AR31" s="152">
        <f t="shared" si="38"/>
        <v>0</v>
      </c>
      <c r="AS31" s="155"/>
      <c r="AT31" s="152">
        <f t="shared" si="39"/>
        <v>0</v>
      </c>
      <c r="AU31" s="155"/>
      <c r="AV31" s="152">
        <f t="shared" si="40"/>
        <v>0</v>
      </c>
      <c r="AW31" s="155"/>
      <c r="AX31" s="152">
        <f t="shared" si="21"/>
        <v>0</v>
      </c>
      <c r="AY31" s="155"/>
      <c r="AZ31" s="152">
        <f t="shared" si="38"/>
        <v>0</v>
      </c>
      <c r="BA31" s="155"/>
      <c r="BB31" s="152">
        <f t="shared" si="39"/>
        <v>0</v>
      </c>
      <c r="BC31" s="155"/>
      <c r="BD31" s="152">
        <f t="shared" si="40"/>
        <v>0</v>
      </c>
      <c r="BE31" s="155"/>
      <c r="BF31" s="152">
        <f t="shared" si="21"/>
        <v>0</v>
      </c>
      <c r="BG31" s="155"/>
      <c r="BH31" s="152">
        <f t="shared" si="41"/>
        <v>0</v>
      </c>
      <c r="BI31" s="155"/>
      <c r="BJ31" s="152">
        <f t="shared" si="42"/>
        <v>0</v>
      </c>
      <c r="BK31" s="155"/>
      <c r="BL31" s="152">
        <f t="shared" si="43"/>
        <v>0</v>
      </c>
      <c r="BM31" s="155"/>
      <c r="BN31" s="152">
        <f t="shared" si="44"/>
        <v>0</v>
      </c>
      <c r="BO31" s="156"/>
      <c r="BP31" s="152">
        <f t="shared" si="45"/>
        <v>0</v>
      </c>
      <c r="BQ31" s="156"/>
      <c r="BR31" s="152">
        <f t="shared" si="46"/>
        <v>0</v>
      </c>
      <c r="BS31" s="155"/>
      <c r="BT31" s="152">
        <f t="shared" si="55"/>
        <v>0</v>
      </c>
      <c r="BU31" s="155"/>
      <c r="BV31" s="152">
        <f t="shared" si="56"/>
        <v>0</v>
      </c>
      <c r="BW31" s="151"/>
      <c r="BX31" s="152">
        <f t="shared" si="57"/>
        <v>0</v>
      </c>
      <c r="BY31" s="157"/>
      <c r="BZ31" s="152">
        <f t="shared" si="47"/>
        <v>0</v>
      </c>
      <c r="CA31" s="157"/>
      <c r="CB31" s="152">
        <f t="shared" si="48"/>
        <v>0</v>
      </c>
      <c r="CC31" s="158"/>
      <c r="CD31" s="152">
        <f t="shared" si="49"/>
        <v>0</v>
      </c>
      <c r="CE31" s="155"/>
      <c r="CF31" s="152">
        <f t="shared" si="51"/>
        <v>0</v>
      </c>
      <c r="CG31" s="152"/>
      <c r="CH31" s="152">
        <f t="shared" si="52"/>
        <v>4359.7296874999993</v>
      </c>
      <c r="CI31" s="152"/>
      <c r="CJ31" s="159">
        <f t="shared" si="53"/>
        <v>4359.7296874999993</v>
      </c>
      <c r="CK31" s="152">
        <f t="shared" si="25"/>
        <v>47957.026562499988</v>
      </c>
      <c r="CL31" s="160">
        <f t="shared" si="54"/>
        <v>47957.026562499988</v>
      </c>
    </row>
    <row r="32" spans="1:90" s="161" customFormat="1" x14ac:dyDescent="0.25">
      <c r="A32" s="147"/>
      <c r="B32" s="148"/>
      <c r="C32" s="148" t="s">
        <v>113</v>
      </c>
      <c r="D32" s="149"/>
      <c r="E32" s="150">
        <v>32.020000000000003</v>
      </c>
      <c r="F32" s="149" t="s">
        <v>96</v>
      </c>
      <c r="G32" s="151">
        <f>8.115*17697</f>
        <v>143611.155</v>
      </c>
      <c r="H32" s="152">
        <f t="shared" si="59"/>
        <v>179513.94375000001</v>
      </c>
      <c r="I32" s="153">
        <v>1</v>
      </c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4">
        <f t="shared" si="8"/>
        <v>0</v>
      </c>
      <c r="X32" s="154">
        <f t="shared" si="8"/>
        <v>0</v>
      </c>
      <c r="Y32" s="153"/>
      <c r="Z32" s="153"/>
      <c r="AA32" s="153"/>
      <c r="AB32" s="153"/>
      <c r="AC32" s="154">
        <f t="shared" si="9"/>
        <v>0</v>
      </c>
      <c r="AD32" s="154">
        <f t="shared" si="9"/>
        <v>0</v>
      </c>
      <c r="AE32" s="152">
        <f t="shared" si="60"/>
        <v>7479.7476562500005</v>
      </c>
      <c r="AF32" s="152">
        <f t="shared" si="61"/>
        <v>0</v>
      </c>
      <c r="AG32" s="152">
        <f t="shared" si="62"/>
        <v>0</v>
      </c>
      <c r="AH32" s="152">
        <f t="shared" si="63"/>
        <v>0</v>
      </c>
      <c r="AI32" s="152">
        <f t="shared" si="64"/>
        <v>0</v>
      </c>
      <c r="AJ32" s="152">
        <f t="shared" si="65"/>
        <v>0</v>
      </c>
      <c r="AK32" s="152">
        <f t="shared" si="66"/>
        <v>0</v>
      </c>
      <c r="AL32" s="152">
        <f t="shared" si="67"/>
        <v>0</v>
      </c>
      <c r="AM32" s="152">
        <f t="shared" si="68"/>
        <v>0</v>
      </c>
      <c r="AN32" s="152">
        <f t="shared" si="69"/>
        <v>0</v>
      </c>
      <c r="AO32" s="152">
        <f t="shared" si="70"/>
        <v>0</v>
      </c>
      <c r="AP32" s="152">
        <f t="shared" si="71"/>
        <v>7479.7476562500005</v>
      </c>
      <c r="AQ32" s="155"/>
      <c r="AR32" s="152">
        <f t="shared" si="38"/>
        <v>0</v>
      </c>
      <c r="AS32" s="155"/>
      <c r="AT32" s="152">
        <f t="shared" si="39"/>
        <v>0</v>
      </c>
      <c r="AU32" s="155"/>
      <c r="AV32" s="152">
        <f t="shared" si="40"/>
        <v>0</v>
      </c>
      <c r="AW32" s="155"/>
      <c r="AX32" s="152">
        <f t="shared" si="21"/>
        <v>0</v>
      </c>
      <c r="AY32" s="155"/>
      <c r="AZ32" s="152">
        <f t="shared" si="38"/>
        <v>0</v>
      </c>
      <c r="BA32" s="155"/>
      <c r="BB32" s="152">
        <f t="shared" si="39"/>
        <v>0</v>
      </c>
      <c r="BC32" s="155"/>
      <c r="BD32" s="152">
        <f t="shared" si="40"/>
        <v>0</v>
      </c>
      <c r="BE32" s="155"/>
      <c r="BF32" s="152">
        <f t="shared" si="21"/>
        <v>0</v>
      </c>
      <c r="BG32" s="155"/>
      <c r="BH32" s="152">
        <f t="shared" si="41"/>
        <v>0</v>
      </c>
      <c r="BI32" s="155"/>
      <c r="BJ32" s="152">
        <f t="shared" si="42"/>
        <v>0</v>
      </c>
      <c r="BK32" s="155"/>
      <c r="BL32" s="152">
        <f t="shared" si="43"/>
        <v>0</v>
      </c>
      <c r="BM32" s="155"/>
      <c r="BN32" s="152">
        <f t="shared" si="44"/>
        <v>0</v>
      </c>
      <c r="BO32" s="156"/>
      <c r="BP32" s="152">
        <f t="shared" si="45"/>
        <v>0</v>
      </c>
      <c r="BQ32" s="156"/>
      <c r="BR32" s="152">
        <f t="shared" si="46"/>
        <v>0</v>
      </c>
      <c r="BS32" s="155"/>
      <c r="BT32" s="152"/>
      <c r="BU32" s="155"/>
      <c r="BV32" s="152"/>
      <c r="BW32" s="151"/>
      <c r="BX32" s="152"/>
      <c r="BY32" s="157"/>
      <c r="BZ32" s="152">
        <f t="shared" si="47"/>
        <v>0</v>
      </c>
      <c r="CA32" s="157"/>
      <c r="CB32" s="152">
        <f t="shared" si="48"/>
        <v>0</v>
      </c>
      <c r="CC32" s="158">
        <v>1</v>
      </c>
      <c r="CD32" s="152">
        <f>H32*0.4/24*1</f>
        <v>2991.8990625000001</v>
      </c>
      <c r="CE32" s="155">
        <f t="shared" si="50"/>
        <v>0</v>
      </c>
      <c r="CF32" s="152">
        <f t="shared" si="51"/>
        <v>0</v>
      </c>
      <c r="CG32" s="152"/>
      <c r="CH32" s="152">
        <f t="shared" si="52"/>
        <v>747.97476562500015</v>
      </c>
      <c r="CI32" s="152"/>
      <c r="CJ32" s="159">
        <f t="shared" si="53"/>
        <v>747.97476562500015</v>
      </c>
      <c r="CK32" s="152">
        <f t="shared" si="25"/>
        <v>8227.7224218750016</v>
      </c>
      <c r="CL32" s="160">
        <f t="shared" si="54"/>
        <v>11219.621484375002</v>
      </c>
    </row>
    <row r="33" spans="1:90" s="62" customFormat="1" x14ac:dyDescent="0.25">
      <c r="A33" s="52"/>
      <c r="B33" s="53"/>
      <c r="C33" s="53"/>
      <c r="D33" s="54"/>
      <c r="E33" s="55">
        <v>32.020000000000003</v>
      </c>
      <c r="F33" s="54"/>
      <c r="G33" s="56"/>
      <c r="H33" s="49">
        <f t="shared" si="59"/>
        <v>0</v>
      </c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7">
        <f t="shared" si="8"/>
        <v>0</v>
      </c>
      <c r="X33" s="47">
        <f t="shared" si="8"/>
        <v>0</v>
      </c>
      <c r="Y33" s="48"/>
      <c r="Z33" s="48"/>
      <c r="AA33" s="48"/>
      <c r="AB33" s="48"/>
      <c r="AC33" s="47">
        <f t="shared" si="9"/>
        <v>0</v>
      </c>
      <c r="AD33" s="47">
        <f t="shared" si="9"/>
        <v>0</v>
      </c>
      <c r="AE33" s="49">
        <f t="shared" si="60"/>
        <v>0</v>
      </c>
      <c r="AF33" s="49">
        <f t="shared" si="61"/>
        <v>0</v>
      </c>
      <c r="AG33" s="49">
        <f t="shared" si="62"/>
        <v>0</v>
      </c>
      <c r="AH33" s="49">
        <f t="shared" si="63"/>
        <v>0</v>
      </c>
      <c r="AI33" s="49">
        <f t="shared" si="64"/>
        <v>0</v>
      </c>
      <c r="AJ33" s="49">
        <f t="shared" si="65"/>
        <v>0</v>
      </c>
      <c r="AK33" s="49">
        <f t="shared" si="66"/>
        <v>0</v>
      </c>
      <c r="AL33" s="49">
        <f t="shared" si="67"/>
        <v>0</v>
      </c>
      <c r="AM33" s="49">
        <f t="shared" si="68"/>
        <v>0</v>
      </c>
      <c r="AN33" s="49">
        <f t="shared" si="69"/>
        <v>0</v>
      </c>
      <c r="AO33" s="49">
        <f t="shared" si="70"/>
        <v>0</v>
      </c>
      <c r="AP33" s="49">
        <f t="shared" si="71"/>
        <v>0</v>
      </c>
      <c r="AQ33" s="57"/>
      <c r="AR33" s="49">
        <f t="shared" si="38"/>
        <v>0</v>
      </c>
      <c r="AS33" s="57"/>
      <c r="AT33" s="49">
        <f t="shared" si="39"/>
        <v>0</v>
      </c>
      <c r="AU33" s="57"/>
      <c r="AV33" s="49">
        <f t="shared" si="40"/>
        <v>0</v>
      </c>
      <c r="AW33" s="57"/>
      <c r="AX33" s="49">
        <f t="shared" si="21"/>
        <v>0</v>
      </c>
      <c r="AY33" s="57"/>
      <c r="AZ33" s="49">
        <f t="shared" si="38"/>
        <v>0</v>
      </c>
      <c r="BA33" s="57"/>
      <c r="BB33" s="49">
        <f t="shared" si="39"/>
        <v>0</v>
      </c>
      <c r="BC33" s="57"/>
      <c r="BD33" s="49">
        <f t="shared" si="40"/>
        <v>0</v>
      </c>
      <c r="BE33" s="57"/>
      <c r="BF33" s="49">
        <f t="shared" si="21"/>
        <v>0</v>
      </c>
      <c r="BG33" s="57"/>
      <c r="BH33" s="49">
        <f t="shared" si="41"/>
        <v>0</v>
      </c>
      <c r="BI33" s="57"/>
      <c r="BJ33" s="49">
        <f t="shared" si="42"/>
        <v>0</v>
      </c>
      <c r="BK33" s="57"/>
      <c r="BL33" s="49">
        <f t="shared" si="43"/>
        <v>0</v>
      </c>
      <c r="BM33" s="57"/>
      <c r="BN33" s="49">
        <f t="shared" si="44"/>
        <v>0</v>
      </c>
      <c r="BO33" s="58"/>
      <c r="BP33" s="49">
        <f t="shared" si="45"/>
        <v>0</v>
      </c>
      <c r="BQ33" s="58"/>
      <c r="BR33" s="49">
        <f t="shared" si="46"/>
        <v>0</v>
      </c>
      <c r="BS33" s="57"/>
      <c r="BT33" s="49"/>
      <c r="BU33" s="57"/>
      <c r="BV33" s="49"/>
      <c r="BW33" s="56"/>
      <c r="BX33" s="49"/>
      <c r="BY33" s="59"/>
      <c r="BZ33" s="49">
        <f t="shared" si="47"/>
        <v>0</v>
      </c>
      <c r="CA33" s="59"/>
      <c r="CB33" s="49">
        <f t="shared" si="48"/>
        <v>0</v>
      </c>
      <c r="CC33" s="60"/>
      <c r="CD33" s="49">
        <f t="shared" si="49"/>
        <v>0</v>
      </c>
      <c r="CE33" s="57">
        <f t="shared" si="50"/>
        <v>0</v>
      </c>
      <c r="CF33" s="49">
        <f t="shared" si="51"/>
        <v>0</v>
      </c>
      <c r="CG33" s="49"/>
      <c r="CH33" s="49">
        <f t="shared" si="52"/>
        <v>0</v>
      </c>
      <c r="CI33" s="49"/>
      <c r="CJ33" s="61">
        <f t="shared" si="53"/>
        <v>0</v>
      </c>
      <c r="CK33" s="49">
        <f t="shared" si="25"/>
        <v>0</v>
      </c>
      <c r="CL33" s="106">
        <f t="shared" si="54"/>
        <v>0</v>
      </c>
    </row>
    <row r="34" spans="1:90" s="140" customFormat="1" x14ac:dyDescent="0.25">
      <c r="A34" s="125">
        <v>4</v>
      </c>
      <c r="B34" s="126" t="s">
        <v>103</v>
      </c>
      <c r="C34" s="127" t="s">
        <v>86</v>
      </c>
      <c r="D34" s="128" t="s">
        <v>82</v>
      </c>
      <c r="E34" s="129">
        <v>8.0399999999999991</v>
      </c>
      <c r="F34" s="128" t="s">
        <v>92</v>
      </c>
      <c r="G34" s="130">
        <f>7.185*17697</f>
        <v>127152.94499999999</v>
      </c>
      <c r="H34" s="131">
        <f t="shared" si="59"/>
        <v>158941.18124999999</v>
      </c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3">
        <f t="shared" si="8"/>
        <v>0</v>
      </c>
      <c r="X34" s="133">
        <f t="shared" si="8"/>
        <v>0</v>
      </c>
      <c r="Y34" s="132"/>
      <c r="Z34" s="132"/>
      <c r="AA34" s="132"/>
      <c r="AB34" s="132"/>
      <c r="AC34" s="133">
        <f t="shared" si="9"/>
        <v>0</v>
      </c>
      <c r="AD34" s="133">
        <f t="shared" si="9"/>
        <v>0</v>
      </c>
      <c r="AE34" s="131">
        <f t="shared" si="60"/>
        <v>0</v>
      </c>
      <c r="AF34" s="131">
        <f t="shared" si="61"/>
        <v>0</v>
      </c>
      <c r="AG34" s="131">
        <f t="shared" si="62"/>
        <v>0</v>
      </c>
      <c r="AH34" s="131">
        <f t="shared" si="63"/>
        <v>0</v>
      </c>
      <c r="AI34" s="131">
        <f t="shared" si="64"/>
        <v>0</v>
      </c>
      <c r="AJ34" s="131">
        <f t="shared" si="65"/>
        <v>0</v>
      </c>
      <c r="AK34" s="131">
        <f t="shared" si="66"/>
        <v>0</v>
      </c>
      <c r="AL34" s="131">
        <f t="shared" si="67"/>
        <v>0</v>
      </c>
      <c r="AM34" s="131">
        <f t="shared" si="68"/>
        <v>0</v>
      </c>
      <c r="AN34" s="131">
        <f t="shared" si="69"/>
        <v>0</v>
      </c>
      <c r="AO34" s="131">
        <f t="shared" si="70"/>
        <v>0</v>
      </c>
      <c r="AP34" s="131">
        <f t="shared" si="71"/>
        <v>0</v>
      </c>
      <c r="AQ34" s="134"/>
      <c r="AR34" s="131">
        <f t="shared" si="38"/>
        <v>0</v>
      </c>
      <c r="AS34" s="134"/>
      <c r="AT34" s="131">
        <f t="shared" si="39"/>
        <v>0</v>
      </c>
      <c r="AU34" s="134"/>
      <c r="AV34" s="131">
        <f t="shared" si="40"/>
        <v>0</v>
      </c>
      <c r="AW34" s="134"/>
      <c r="AX34" s="131">
        <f t="shared" si="21"/>
        <v>0</v>
      </c>
      <c r="AY34" s="134"/>
      <c r="AZ34" s="131">
        <f t="shared" si="38"/>
        <v>0</v>
      </c>
      <c r="BA34" s="134"/>
      <c r="BB34" s="131">
        <f t="shared" si="39"/>
        <v>0</v>
      </c>
      <c r="BC34" s="134"/>
      <c r="BD34" s="131">
        <f t="shared" si="40"/>
        <v>0</v>
      </c>
      <c r="BE34" s="134"/>
      <c r="BF34" s="131">
        <f t="shared" si="21"/>
        <v>0</v>
      </c>
      <c r="BG34" s="134"/>
      <c r="BH34" s="131">
        <f t="shared" si="41"/>
        <v>0</v>
      </c>
      <c r="BI34" s="134"/>
      <c r="BJ34" s="131">
        <f t="shared" si="42"/>
        <v>0</v>
      </c>
      <c r="BK34" s="134"/>
      <c r="BL34" s="131">
        <f t="shared" si="43"/>
        <v>0</v>
      </c>
      <c r="BM34" s="134"/>
      <c r="BN34" s="131">
        <f t="shared" si="44"/>
        <v>0</v>
      </c>
      <c r="BO34" s="135"/>
      <c r="BP34" s="131">
        <f t="shared" si="45"/>
        <v>0</v>
      </c>
      <c r="BQ34" s="135"/>
      <c r="BR34" s="131">
        <f t="shared" si="46"/>
        <v>0</v>
      </c>
      <c r="BS34" s="134"/>
      <c r="BT34" s="131">
        <f t="shared" si="55"/>
        <v>0</v>
      </c>
      <c r="BU34" s="134"/>
      <c r="BV34" s="131">
        <f t="shared" si="56"/>
        <v>0</v>
      </c>
      <c r="BW34" s="130"/>
      <c r="BX34" s="131">
        <f t="shared" si="57"/>
        <v>0</v>
      </c>
      <c r="BY34" s="136"/>
      <c r="BZ34" s="131">
        <f t="shared" si="47"/>
        <v>0</v>
      </c>
      <c r="CA34" s="136"/>
      <c r="CB34" s="131">
        <f t="shared" si="48"/>
        <v>0</v>
      </c>
      <c r="CC34" s="137"/>
      <c r="CD34" s="131">
        <f t="shared" si="49"/>
        <v>0</v>
      </c>
      <c r="CE34" s="134">
        <f t="shared" si="50"/>
        <v>0</v>
      </c>
      <c r="CF34" s="131">
        <f t="shared" si="51"/>
        <v>0</v>
      </c>
      <c r="CG34" s="131"/>
      <c r="CH34" s="131">
        <f t="shared" si="52"/>
        <v>0</v>
      </c>
      <c r="CI34" s="131"/>
      <c r="CJ34" s="138">
        <f t="shared" si="53"/>
        <v>0</v>
      </c>
      <c r="CK34" s="131">
        <f t="shared" si="25"/>
        <v>0</v>
      </c>
      <c r="CL34" s="139">
        <f t="shared" si="54"/>
        <v>0</v>
      </c>
    </row>
    <row r="35" spans="1:90" s="62" customFormat="1" x14ac:dyDescent="0.25">
      <c r="A35" s="52"/>
      <c r="B35" s="53"/>
      <c r="C35" s="76" t="s">
        <v>117</v>
      </c>
      <c r="D35" s="54"/>
      <c r="E35" s="55">
        <v>8.0399999999999991</v>
      </c>
      <c r="F35" s="54" t="s">
        <v>95</v>
      </c>
      <c r="G35" s="56">
        <f>5.295*17697</f>
        <v>93705.615000000005</v>
      </c>
      <c r="H35" s="49">
        <f t="shared" si="59"/>
        <v>117132.01875</v>
      </c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7">
        <f t="shared" si="8"/>
        <v>0</v>
      </c>
      <c r="X35" s="47">
        <f t="shared" si="8"/>
        <v>0</v>
      </c>
      <c r="Y35" s="48"/>
      <c r="Z35" s="48"/>
      <c r="AA35" s="48"/>
      <c r="AB35" s="48"/>
      <c r="AC35" s="47">
        <f t="shared" si="9"/>
        <v>0</v>
      </c>
      <c r="AD35" s="47">
        <f t="shared" si="9"/>
        <v>0</v>
      </c>
      <c r="AE35" s="49">
        <f t="shared" si="60"/>
        <v>0</v>
      </c>
      <c r="AF35" s="49">
        <f t="shared" si="61"/>
        <v>0</v>
      </c>
      <c r="AG35" s="49">
        <f t="shared" si="62"/>
        <v>0</v>
      </c>
      <c r="AH35" s="49">
        <f t="shared" si="63"/>
        <v>0</v>
      </c>
      <c r="AI35" s="49">
        <f t="shared" si="64"/>
        <v>0</v>
      </c>
      <c r="AJ35" s="49">
        <f t="shared" si="65"/>
        <v>0</v>
      </c>
      <c r="AK35" s="49">
        <f t="shared" si="66"/>
        <v>0</v>
      </c>
      <c r="AL35" s="49">
        <f t="shared" si="67"/>
        <v>0</v>
      </c>
      <c r="AM35" s="49">
        <f t="shared" si="68"/>
        <v>0</v>
      </c>
      <c r="AN35" s="49">
        <f t="shared" si="69"/>
        <v>0</v>
      </c>
      <c r="AO35" s="49">
        <f t="shared" si="70"/>
        <v>0</v>
      </c>
      <c r="AP35" s="49">
        <f t="shared" si="71"/>
        <v>0</v>
      </c>
      <c r="AQ35" s="57"/>
      <c r="AR35" s="49">
        <f t="shared" si="38"/>
        <v>0</v>
      </c>
      <c r="AS35" s="57"/>
      <c r="AT35" s="49">
        <f t="shared" si="39"/>
        <v>0</v>
      </c>
      <c r="AU35" s="57"/>
      <c r="AV35" s="49">
        <f t="shared" si="40"/>
        <v>0</v>
      </c>
      <c r="AW35" s="57"/>
      <c r="AX35" s="49">
        <f t="shared" si="21"/>
        <v>0</v>
      </c>
      <c r="AY35" s="57"/>
      <c r="AZ35" s="49">
        <f t="shared" si="38"/>
        <v>0</v>
      </c>
      <c r="BA35" s="57"/>
      <c r="BB35" s="49">
        <f t="shared" si="39"/>
        <v>0</v>
      </c>
      <c r="BC35" s="57"/>
      <c r="BD35" s="49">
        <f t="shared" si="40"/>
        <v>0</v>
      </c>
      <c r="BE35" s="57"/>
      <c r="BF35" s="49">
        <f t="shared" si="21"/>
        <v>0</v>
      </c>
      <c r="BG35" s="57"/>
      <c r="BH35" s="49">
        <f t="shared" si="41"/>
        <v>0</v>
      </c>
      <c r="BI35" s="57"/>
      <c r="BJ35" s="49">
        <f t="shared" si="42"/>
        <v>0</v>
      </c>
      <c r="BK35" s="57"/>
      <c r="BL35" s="49">
        <f t="shared" si="43"/>
        <v>0</v>
      </c>
      <c r="BM35" s="57"/>
      <c r="BN35" s="49">
        <f t="shared" si="44"/>
        <v>0</v>
      </c>
      <c r="BO35" s="58"/>
      <c r="BP35" s="49">
        <f t="shared" si="45"/>
        <v>0</v>
      </c>
      <c r="BQ35" s="58"/>
      <c r="BR35" s="49">
        <f t="shared" si="46"/>
        <v>0</v>
      </c>
      <c r="BS35" s="57"/>
      <c r="BT35" s="49"/>
      <c r="BU35" s="57"/>
      <c r="BV35" s="49"/>
      <c r="BW35" s="56"/>
      <c r="BX35" s="49"/>
      <c r="BY35" s="59"/>
      <c r="BZ35" s="49">
        <f t="shared" si="47"/>
        <v>0</v>
      </c>
      <c r="CA35" s="59"/>
      <c r="CB35" s="49">
        <f t="shared" si="48"/>
        <v>0</v>
      </c>
      <c r="CC35" s="60"/>
      <c r="CD35" s="49">
        <f t="shared" si="49"/>
        <v>0</v>
      </c>
      <c r="CE35" s="57">
        <f t="shared" si="50"/>
        <v>0</v>
      </c>
      <c r="CF35" s="49">
        <f t="shared" si="51"/>
        <v>0</v>
      </c>
      <c r="CG35" s="49"/>
      <c r="CH35" s="49">
        <f t="shared" si="52"/>
        <v>0</v>
      </c>
      <c r="CI35" s="49"/>
      <c r="CJ35" s="61">
        <f t="shared" si="53"/>
        <v>0</v>
      </c>
      <c r="CK35" s="49">
        <f t="shared" si="25"/>
        <v>0</v>
      </c>
      <c r="CL35" s="106">
        <f t="shared" si="54"/>
        <v>0</v>
      </c>
    </row>
    <row r="36" spans="1:90" s="161" customFormat="1" x14ac:dyDescent="0.25">
      <c r="A36" s="147">
        <v>5</v>
      </c>
      <c r="B36" s="148" t="s">
        <v>104</v>
      </c>
      <c r="C36" s="148" t="s">
        <v>90</v>
      </c>
      <c r="D36" s="149" t="s">
        <v>82</v>
      </c>
      <c r="E36" s="150">
        <v>29.04</v>
      </c>
      <c r="F36" s="149" t="s">
        <v>96</v>
      </c>
      <c r="G36" s="151">
        <f>8.115*17697</f>
        <v>143611.155</v>
      </c>
      <c r="H36" s="152">
        <f t="shared" si="59"/>
        <v>179513.94375000001</v>
      </c>
      <c r="I36" s="153"/>
      <c r="J36" s="153"/>
      <c r="K36" s="153"/>
      <c r="L36" s="153"/>
      <c r="M36" s="153"/>
      <c r="N36" s="153"/>
      <c r="O36" s="153">
        <v>5</v>
      </c>
      <c r="P36" s="153"/>
      <c r="Q36" s="153">
        <v>5</v>
      </c>
      <c r="R36" s="153"/>
      <c r="S36" s="153"/>
      <c r="T36" s="153"/>
      <c r="U36" s="153">
        <v>5</v>
      </c>
      <c r="V36" s="153"/>
      <c r="W36" s="154">
        <f t="shared" si="8"/>
        <v>15</v>
      </c>
      <c r="X36" s="154">
        <f t="shared" si="8"/>
        <v>0</v>
      </c>
      <c r="Y36" s="153"/>
      <c r="Z36" s="153"/>
      <c r="AA36" s="153">
        <v>3</v>
      </c>
      <c r="AB36" s="153"/>
      <c r="AC36" s="154">
        <f t="shared" si="9"/>
        <v>3</v>
      </c>
      <c r="AD36" s="154">
        <f t="shared" si="9"/>
        <v>0</v>
      </c>
      <c r="AE36" s="152">
        <f t="shared" si="60"/>
        <v>0</v>
      </c>
      <c r="AF36" s="152">
        <f t="shared" si="61"/>
        <v>0</v>
      </c>
      <c r="AG36" s="152">
        <f t="shared" si="62"/>
        <v>0</v>
      </c>
      <c r="AH36" s="152">
        <f t="shared" si="63"/>
        <v>49864.984375</v>
      </c>
      <c r="AI36" s="152">
        <f t="shared" si="64"/>
        <v>49864.984375</v>
      </c>
      <c r="AJ36" s="152">
        <f t="shared" si="65"/>
        <v>0</v>
      </c>
      <c r="AK36" s="152">
        <f t="shared" si="66"/>
        <v>49864.984375</v>
      </c>
      <c r="AL36" s="152">
        <f t="shared" si="67"/>
        <v>149594.953125</v>
      </c>
      <c r="AM36" s="152">
        <f t="shared" si="68"/>
        <v>0</v>
      </c>
      <c r="AN36" s="152">
        <f t="shared" si="69"/>
        <v>29918.990625000002</v>
      </c>
      <c r="AO36" s="152">
        <f t="shared" si="70"/>
        <v>29918.990625000002</v>
      </c>
      <c r="AP36" s="152">
        <f t="shared" si="71"/>
        <v>179513.94375000001</v>
      </c>
      <c r="AQ36" s="155"/>
      <c r="AR36" s="152">
        <f t="shared" si="38"/>
        <v>0</v>
      </c>
      <c r="AS36" s="155"/>
      <c r="AT36" s="152">
        <f t="shared" si="39"/>
        <v>0</v>
      </c>
      <c r="AU36" s="155"/>
      <c r="AV36" s="152">
        <f t="shared" si="40"/>
        <v>0</v>
      </c>
      <c r="AW36" s="155"/>
      <c r="AX36" s="152">
        <f t="shared" si="21"/>
        <v>0</v>
      </c>
      <c r="AY36" s="155"/>
      <c r="AZ36" s="152">
        <f t="shared" si="38"/>
        <v>0</v>
      </c>
      <c r="BA36" s="155">
        <v>15</v>
      </c>
      <c r="BB36" s="152">
        <f t="shared" si="39"/>
        <v>3686.875</v>
      </c>
      <c r="BC36" s="155"/>
      <c r="BD36" s="152">
        <f t="shared" si="40"/>
        <v>0</v>
      </c>
      <c r="BE36" s="155"/>
      <c r="BF36" s="152">
        <f t="shared" si="21"/>
        <v>0</v>
      </c>
      <c r="BG36" s="155"/>
      <c r="BH36" s="152">
        <f t="shared" si="41"/>
        <v>0</v>
      </c>
      <c r="BI36" s="155">
        <v>3</v>
      </c>
      <c r="BJ36" s="152">
        <f t="shared" si="42"/>
        <v>737.375</v>
      </c>
      <c r="BK36" s="155"/>
      <c r="BL36" s="152">
        <f t="shared" si="43"/>
        <v>0</v>
      </c>
      <c r="BM36" s="155"/>
      <c r="BN36" s="152">
        <f t="shared" si="44"/>
        <v>0</v>
      </c>
      <c r="BO36" s="156">
        <v>0.5</v>
      </c>
      <c r="BP36" s="152">
        <f t="shared" si="45"/>
        <v>5309.1</v>
      </c>
      <c r="BQ36" s="156"/>
      <c r="BR36" s="152">
        <f t="shared" si="46"/>
        <v>0</v>
      </c>
      <c r="BS36" s="155"/>
      <c r="BT36" s="152">
        <f t="shared" si="55"/>
        <v>0</v>
      </c>
      <c r="BU36" s="155"/>
      <c r="BV36" s="152">
        <f t="shared" si="56"/>
        <v>0</v>
      </c>
      <c r="BW36" s="151"/>
      <c r="BX36" s="152">
        <f t="shared" si="57"/>
        <v>0</v>
      </c>
      <c r="BY36" s="157"/>
      <c r="BZ36" s="152">
        <f t="shared" si="47"/>
        <v>0</v>
      </c>
      <c r="CA36" s="157"/>
      <c r="CB36" s="152">
        <f t="shared" si="48"/>
        <v>0</v>
      </c>
      <c r="CC36" s="158">
        <v>18</v>
      </c>
      <c r="CD36" s="152">
        <f t="shared" si="49"/>
        <v>71805.577499999999</v>
      </c>
      <c r="CE36" s="155">
        <f t="shared" si="50"/>
        <v>18</v>
      </c>
      <c r="CF36" s="152">
        <f t="shared" si="51"/>
        <v>53854.183125000003</v>
      </c>
      <c r="CG36" s="152"/>
      <c r="CH36" s="152">
        <f t="shared" si="52"/>
        <v>17951.394375</v>
      </c>
      <c r="CI36" s="152"/>
      <c r="CJ36" s="159">
        <f t="shared" si="53"/>
        <v>27684.744375000002</v>
      </c>
      <c r="CK36" s="152">
        <f t="shared" si="25"/>
        <v>207198.68812500002</v>
      </c>
      <c r="CL36" s="160">
        <f t="shared" si="54"/>
        <v>332858.44875000004</v>
      </c>
    </row>
    <row r="37" spans="1:90" s="161" customFormat="1" x14ac:dyDescent="0.25">
      <c r="A37" s="147"/>
      <c r="B37" s="179"/>
      <c r="C37" s="179" t="s">
        <v>106</v>
      </c>
      <c r="D37" s="149" t="s">
        <v>82</v>
      </c>
      <c r="E37" s="150">
        <v>29.04</v>
      </c>
      <c r="F37" s="149" t="s">
        <v>96</v>
      </c>
      <c r="G37" s="151">
        <f>8.115*17697</f>
        <v>143611.155</v>
      </c>
      <c r="H37" s="152">
        <f t="shared" si="59"/>
        <v>179513.94375000001</v>
      </c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>
        <v>1</v>
      </c>
      <c r="W37" s="154">
        <f t="shared" si="8"/>
        <v>0</v>
      </c>
      <c r="X37" s="154">
        <f t="shared" si="8"/>
        <v>1</v>
      </c>
      <c r="Y37" s="153">
        <v>0</v>
      </c>
      <c r="Z37" s="153"/>
      <c r="AA37" s="153"/>
      <c r="AB37" s="153">
        <v>1</v>
      </c>
      <c r="AC37" s="154">
        <f t="shared" si="9"/>
        <v>0</v>
      </c>
      <c r="AD37" s="154">
        <f t="shared" si="9"/>
        <v>1</v>
      </c>
      <c r="AE37" s="152">
        <f t="shared" si="60"/>
        <v>0</v>
      </c>
      <c r="AF37" s="152">
        <f t="shared" si="61"/>
        <v>0</v>
      </c>
      <c r="AG37" s="152">
        <f t="shared" si="62"/>
        <v>0</v>
      </c>
      <c r="AH37" s="152">
        <f t="shared" si="63"/>
        <v>0</v>
      </c>
      <c r="AI37" s="152">
        <f t="shared" si="64"/>
        <v>0</v>
      </c>
      <c r="AJ37" s="152">
        <f t="shared" si="65"/>
        <v>0</v>
      </c>
      <c r="AK37" s="152">
        <f t="shared" si="66"/>
        <v>9972.9968750000007</v>
      </c>
      <c r="AL37" s="152">
        <f t="shared" si="67"/>
        <v>9972.9968750000007</v>
      </c>
      <c r="AM37" s="152">
        <f t="shared" si="68"/>
        <v>0</v>
      </c>
      <c r="AN37" s="152">
        <f t="shared" si="69"/>
        <v>9972.9968750000007</v>
      </c>
      <c r="AO37" s="152">
        <f t="shared" si="70"/>
        <v>9972.9968750000007</v>
      </c>
      <c r="AP37" s="152">
        <f t="shared" si="71"/>
        <v>19945.993750000001</v>
      </c>
      <c r="AQ37" s="155"/>
      <c r="AR37" s="152">
        <f t="shared" si="38"/>
        <v>0</v>
      </c>
      <c r="AS37" s="155"/>
      <c r="AT37" s="152">
        <f t="shared" si="39"/>
        <v>0</v>
      </c>
      <c r="AU37" s="155"/>
      <c r="AV37" s="152">
        <f t="shared" si="40"/>
        <v>0</v>
      </c>
      <c r="AW37" s="155"/>
      <c r="AX37" s="152">
        <f t="shared" si="21"/>
        <v>0</v>
      </c>
      <c r="AY37" s="155"/>
      <c r="AZ37" s="152">
        <f t="shared" si="38"/>
        <v>0</v>
      </c>
      <c r="BA37" s="155"/>
      <c r="BB37" s="152">
        <f t="shared" si="39"/>
        <v>0</v>
      </c>
      <c r="BC37" s="155"/>
      <c r="BD37" s="152">
        <f t="shared" si="40"/>
        <v>0</v>
      </c>
      <c r="BE37" s="155"/>
      <c r="BF37" s="152">
        <f t="shared" si="21"/>
        <v>0</v>
      </c>
      <c r="BG37" s="155"/>
      <c r="BH37" s="152">
        <f t="shared" si="41"/>
        <v>0</v>
      </c>
      <c r="BI37" s="155"/>
      <c r="BJ37" s="152">
        <f t="shared" si="42"/>
        <v>0</v>
      </c>
      <c r="BK37" s="155"/>
      <c r="BL37" s="152">
        <f t="shared" si="43"/>
        <v>0</v>
      </c>
      <c r="BM37" s="155"/>
      <c r="BN37" s="152">
        <f t="shared" si="44"/>
        <v>0</v>
      </c>
      <c r="BO37" s="156"/>
      <c r="BP37" s="152">
        <f t="shared" si="45"/>
        <v>0</v>
      </c>
      <c r="BQ37" s="156"/>
      <c r="BR37" s="152">
        <f t="shared" si="46"/>
        <v>0</v>
      </c>
      <c r="BS37" s="155"/>
      <c r="BT37" s="152">
        <f t="shared" si="55"/>
        <v>0</v>
      </c>
      <c r="BU37" s="155"/>
      <c r="BV37" s="152">
        <f t="shared" si="56"/>
        <v>0</v>
      </c>
      <c r="BW37" s="151"/>
      <c r="BX37" s="152">
        <f t="shared" si="57"/>
        <v>0</v>
      </c>
      <c r="BY37" s="157"/>
      <c r="BZ37" s="152">
        <f t="shared" si="47"/>
        <v>0</v>
      </c>
      <c r="CA37" s="157"/>
      <c r="CB37" s="152">
        <f t="shared" si="48"/>
        <v>0</v>
      </c>
      <c r="CC37" s="158">
        <v>2</v>
      </c>
      <c r="CD37" s="152">
        <f t="shared" si="49"/>
        <v>7978.3975</v>
      </c>
      <c r="CE37" s="155">
        <f t="shared" si="50"/>
        <v>2</v>
      </c>
      <c r="CF37" s="152">
        <f t="shared" si="51"/>
        <v>5983.7981250000003</v>
      </c>
      <c r="CG37" s="152"/>
      <c r="CH37" s="152">
        <f t="shared" si="52"/>
        <v>1994.5993750000002</v>
      </c>
      <c r="CI37" s="152"/>
      <c r="CJ37" s="159">
        <f t="shared" si="53"/>
        <v>1994.5993750000002</v>
      </c>
      <c r="CK37" s="152">
        <f t="shared" si="25"/>
        <v>21940.593125000003</v>
      </c>
      <c r="CL37" s="160">
        <f t="shared" si="54"/>
        <v>35902.788750000007</v>
      </c>
    </row>
    <row r="38" spans="1:90" s="161" customFormat="1" x14ac:dyDescent="0.25">
      <c r="A38" s="180">
        <v>6</v>
      </c>
      <c r="B38" s="148" t="s">
        <v>107</v>
      </c>
      <c r="C38" s="148" t="s">
        <v>84</v>
      </c>
      <c r="D38" s="149" t="s">
        <v>82</v>
      </c>
      <c r="E38" s="181">
        <v>13.02</v>
      </c>
      <c r="F38" s="149" t="s">
        <v>94</v>
      </c>
      <c r="G38" s="151">
        <f>7.35*17697</f>
        <v>130072.95</v>
      </c>
      <c r="H38" s="152">
        <f t="shared" si="59"/>
        <v>162591.1875</v>
      </c>
      <c r="I38" s="153"/>
      <c r="J38" s="153"/>
      <c r="K38" s="153"/>
      <c r="L38" s="153"/>
      <c r="M38" s="153"/>
      <c r="N38" s="153"/>
      <c r="O38" s="153">
        <v>2</v>
      </c>
      <c r="P38" s="153">
        <v>1</v>
      </c>
      <c r="Q38" s="153">
        <v>2</v>
      </c>
      <c r="R38" s="153"/>
      <c r="S38" s="153"/>
      <c r="T38" s="153"/>
      <c r="U38" s="153">
        <v>2</v>
      </c>
      <c r="V38" s="153"/>
      <c r="W38" s="154">
        <f t="shared" si="8"/>
        <v>6</v>
      </c>
      <c r="X38" s="154">
        <f t="shared" si="8"/>
        <v>1</v>
      </c>
      <c r="Y38" s="153"/>
      <c r="Z38" s="153"/>
      <c r="AA38" s="153"/>
      <c r="AB38" s="153">
        <v>1</v>
      </c>
      <c r="AC38" s="154">
        <f t="shared" si="9"/>
        <v>0</v>
      </c>
      <c r="AD38" s="154">
        <f t="shared" si="9"/>
        <v>1</v>
      </c>
      <c r="AE38" s="152">
        <f t="shared" si="60"/>
        <v>0</v>
      </c>
      <c r="AF38" s="152">
        <f t="shared" si="61"/>
        <v>0</v>
      </c>
      <c r="AG38" s="152">
        <f t="shared" si="62"/>
        <v>0</v>
      </c>
      <c r="AH38" s="152">
        <f t="shared" si="63"/>
        <v>27098.53125</v>
      </c>
      <c r="AI38" s="152">
        <f t="shared" si="64"/>
        <v>18065.6875</v>
      </c>
      <c r="AJ38" s="152">
        <f t="shared" si="65"/>
        <v>0</v>
      </c>
      <c r="AK38" s="152">
        <f t="shared" si="66"/>
        <v>18065.6875</v>
      </c>
      <c r="AL38" s="152">
        <f t="shared" si="67"/>
        <v>63229.90625</v>
      </c>
      <c r="AM38" s="152">
        <f t="shared" si="68"/>
        <v>0</v>
      </c>
      <c r="AN38" s="152">
        <f t="shared" si="69"/>
        <v>9032.84375</v>
      </c>
      <c r="AO38" s="152">
        <f t="shared" si="70"/>
        <v>9032.84375</v>
      </c>
      <c r="AP38" s="152">
        <f t="shared" si="71"/>
        <v>72262.75</v>
      </c>
      <c r="AQ38" s="155"/>
      <c r="AR38" s="152">
        <f t="shared" si="38"/>
        <v>0</v>
      </c>
      <c r="AS38" s="155"/>
      <c r="AT38" s="152">
        <f t="shared" si="39"/>
        <v>0</v>
      </c>
      <c r="AU38" s="155"/>
      <c r="AV38" s="152">
        <f t="shared" si="40"/>
        <v>0</v>
      </c>
      <c r="AW38" s="155"/>
      <c r="AX38" s="152">
        <f t="shared" si="21"/>
        <v>0</v>
      </c>
      <c r="AY38" s="155"/>
      <c r="AZ38" s="152">
        <f t="shared" si="38"/>
        <v>0</v>
      </c>
      <c r="BA38" s="155"/>
      <c r="BB38" s="152">
        <f t="shared" si="39"/>
        <v>0</v>
      </c>
      <c r="BC38" s="155"/>
      <c r="BD38" s="152">
        <f t="shared" si="40"/>
        <v>0</v>
      </c>
      <c r="BE38" s="155">
        <v>6</v>
      </c>
      <c r="BF38" s="152">
        <f t="shared" si="21"/>
        <v>1179.8</v>
      </c>
      <c r="BG38" s="155"/>
      <c r="BH38" s="152">
        <f t="shared" si="41"/>
        <v>0</v>
      </c>
      <c r="BI38" s="155"/>
      <c r="BJ38" s="152">
        <f t="shared" si="42"/>
        <v>0</v>
      </c>
      <c r="BK38" s="155"/>
      <c r="BL38" s="152">
        <f t="shared" si="43"/>
        <v>0</v>
      </c>
      <c r="BM38" s="155"/>
      <c r="BN38" s="152">
        <f t="shared" si="44"/>
        <v>0</v>
      </c>
      <c r="BO38" s="182">
        <v>0.5</v>
      </c>
      <c r="BP38" s="152">
        <f t="shared" si="45"/>
        <v>5309.1</v>
      </c>
      <c r="BQ38" s="156"/>
      <c r="BR38" s="152">
        <f t="shared" si="46"/>
        <v>0</v>
      </c>
      <c r="BS38" s="155"/>
      <c r="BT38" s="152">
        <f t="shared" si="55"/>
        <v>0</v>
      </c>
      <c r="BU38" s="155"/>
      <c r="BV38" s="152">
        <f t="shared" si="56"/>
        <v>0</v>
      </c>
      <c r="BW38" s="151"/>
      <c r="BX38" s="152">
        <f t="shared" si="57"/>
        <v>0</v>
      </c>
      <c r="BY38" s="157">
        <v>8</v>
      </c>
      <c r="BZ38" s="152">
        <f t="shared" si="47"/>
        <v>21678.824999999997</v>
      </c>
      <c r="CA38" s="157"/>
      <c r="CB38" s="152">
        <f t="shared" si="48"/>
        <v>0</v>
      </c>
      <c r="CC38" s="158"/>
      <c r="CD38" s="152">
        <f t="shared" si="49"/>
        <v>0</v>
      </c>
      <c r="CE38" s="155">
        <f t="shared" si="50"/>
        <v>8</v>
      </c>
      <c r="CF38" s="152">
        <f t="shared" si="51"/>
        <v>21678.824999999997</v>
      </c>
      <c r="CG38" s="152"/>
      <c r="CH38" s="152">
        <f t="shared" si="52"/>
        <v>7226.2750000000005</v>
      </c>
      <c r="CI38" s="152"/>
      <c r="CJ38" s="159">
        <f t="shared" si="53"/>
        <v>13715.175000000001</v>
      </c>
      <c r="CK38" s="152">
        <f t="shared" si="25"/>
        <v>85977.925000000003</v>
      </c>
      <c r="CL38" s="160">
        <f t="shared" si="54"/>
        <v>129335.575</v>
      </c>
    </row>
    <row r="39" spans="1:90" s="161" customFormat="1" x14ac:dyDescent="0.25">
      <c r="A39" s="147"/>
      <c r="B39" s="148"/>
      <c r="C39" s="148" t="s">
        <v>85</v>
      </c>
      <c r="D39" s="149" t="s">
        <v>77</v>
      </c>
      <c r="E39" s="181">
        <v>13.02</v>
      </c>
      <c r="F39" s="149" t="s">
        <v>93</v>
      </c>
      <c r="G39" s="151">
        <f>6.735*17697</f>
        <v>119189.29500000001</v>
      </c>
      <c r="H39" s="152">
        <f t="shared" si="59"/>
        <v>148986.61875000002</v>
      </c>
      <c r="I39" s="183"/>
      <c r="J39" s="183"/>
      <c r="K39" s="183"/>
      <c r="L39" s="183"/>
      <c r="M39" s="183"/>
      <c r="N39" s="183"/>
      <c r="O39" s="183"/>
      <c r="P39" s="183"/>
      <c r="Q39" s="183">
        <v>1</v>
      </c>
      <c r="R39" s="183">
        <v>1</v>
      </c>
      <c r="S39" s="183"/>
      <c r="T39" s="183"/>
      <c r="U39" s="183">
        <v>2</v>
      </c>
      <c r="V39" s="183">
        <v>1</v>
      </c>
      <c r="W39" s="154">
        <f t="shared" si="8"/>
        <v>3</v>
      </c>
      <c r="X39" s="154">
        <f t="shared" si="8"/>
        <v>2</v>
      </c>
      <c r="Y39" s="183"/>
      <c r="Z39" s="183"/>
      <c r="AA39" s="183"/>
      <c r="AB39" s="183">
        <v>1</v>
      </c>
      <c r="AC39" s="154">
        <f t="shared" si="9"/>
        <v>0</v>
      </c>
      <c r="AD39" s="154">
        <f t="shared" si="9"/>
        <v>1</v>
      </c>
      <c r="AE39" s="152">
        <f t="shared" si="60"/>
        <v>0</v>
      </c>
      <c r="AF39" s="152">
        <f t="shared" si="61"/>
        <v>0</v>
      </c>
      <c r="AG39" s="152">
        <f t="shared" si="62"/>
        <v>0</v>
      </c>
      <c r="AH39" s="152">
        <f t="shared" si="63"/>
        <v>0</v>
      </c>
      <c r="AI39" s="152">
        <f t="shared" si="64"/>
        <v>16554.068750000002</v>
      </c>
      <c r="AJ39" s="152">
        <f t="shared" si="65"/>
        <v>0</v>
      </c>
      <c r="AK39" s="152">
        <f t="shared" si="66"/>
        <v>24831.103125000001</v>
      </c>
      <c r="AL39" s="152">
        <f t="shared" si="67"/>
        <v>41385.171875</v>
      </c>
      <c r="AM39" s="152">
        <f t="shared" si="68"/>
        <v>0</v>
      </c>
      <c r="AN39" s="152">
        <f t="shared" si="69"/>
        <v>8277.0343750000011</v>
      </c>
      <c r="AO39" s="152">
        <f t="shared" si="70"/>
        <v>8277.0343750000011</v>
      </c>
      <c r="AP39" s="152">
        <f t="shared" si="71"/>
        <v>49662.206250000003</v>
      </c>
      <c r="AQ39" s="155"/>
      <c r="AR39" s="152">
        <f t="shared" si="38"/>
        <v>0</v>
      </c>
      <c r="AS39" s="155"/>
      <c r="AT39" s="152">
        <f t="shared" si="39"/>
        <v>0</v>
      </c>
      <c r="AU39" s="155"/>
      <c r="AV39" s="152">
        <f t="shared" si="40"/>
        <v>0</v>
      </c>
      <c r="AW39" s="155"/>
      <c r="AX39" s="152">
        <f t="shared" si="21"/>
        <v>0</v>
      </c>
      <c r="AY39" s="155"/>
      <c r="AZ39" s="152">
        <f t="shared" si="38"/>
        <v>0</v>
      </c>
      <c r="BA39" s="155"/>
      <c r="BB39" s="152">
        <f t="shared" si="39"/>
        <v>0</v>
      </c>
      <c r="BC39" s="155"/>
      <c r="BD39" s="152">
        <f t="shared" si="40"/>
        <v>0</v>
      </c>
      <c r="BE39" s="155">
        <v>3</v>
      </c>
      <c r="BF39" s="152">
        <f t="shared" si="21"/>
        <v>589.9</v>
      </c>
      <c r="BG39" s="155"/>
      <c r="BH39" s="152">
        <f t="shared" si="41"/>
        <v>0</v>
      </c>
      <c r="BI39" s="155"/>
      <c r="BJ39" s="152">
        <f t="shared" si="42"/>
        <v>0</v>
      </c>
      <c r="BK39" s="155"/>
      <c r="BL39" s="152">
        <f t="shared" si="43"/>
        <v>0</v>
      </c>
      <c r="BM39" s="155"/>
      <c r="BN39" s="152">
        <f t="shared" si="44"/>
        <v>0</v>
      </c>
      <c r="BO39" s="156"/>
      <c r="BP39" s="152">
        <f t="shared" si="45"/>
        <v>0</v>
      </c>
      <c r="BQ39" s="156"/>
      <c r="BR39" s="152">
        <f t="shared" si="46"/>
        <v>0</v>
      </c>
      <c r="BS39" s="155"/>
      <c r="BT39" s="152">
        <f t="shared" si="55"/>
        <v>0</v>
      </c>
      <c r="BU39" s="155"/>
      <c r="BV39" s="152">
        <f t="shared" si="56"/>
        <v>0</v>
      </c>
      <c r="BW39" s="151"/>
      <c r="BX39" s="152">
        <f t="shared" si="57"/>
        <v>0</v>
      </c>
      <c r="BY39" s="157"/>
      <c r="BZ39" s="152">
        <f t="shared" si="47"/>
        <v>0</v>
      </c>
      <c r="CA39" s="157"/>
      <c r="CB39" s="152">
        <f t="shared" si="48"/>
        <v>0</v>
      </c>
      <c r="CC39" s="158"/>
      <c r="CD39" s="152">
        <f t="shared" si="49"/>
        <v>0</v>
      </c>
      <c r="CE39" s="155">
        <f t="shared" si="50"/>
        <v>6</v>
      </c>
      <c r="CF39" s="152">
        <f t="shared" si="51"/>
        <v>14898.661875000002</v>
      </c>
      <c r="CG39" s="152"/>
      <c r="CH39" s="152">
        <f t="shared" si="52"/>
        <v>4966.2206250000008</v>
      </c>
      <c r="CI39" s="152"/>
      <c r="CJ39" s="159">
        <f t="shared" si="53"/>
        <v>5556.1206250000005</v>
      </c>
      <c r="CK39" s="152">
        <f t="shared" si="25"/>
        <v>55218.326875000006</v>
      </c>
      <c r="CL39" s="160">
        <f t="shared" si="54"/>
        <v>70116.988750000004</v>
      </c>
    </row>
    <row r="40" spans="1:90" s="161" customFormat="1" x14ac:dyDescent="0.25">
      <c r="A40" s="147">
        <v>8</v>
      </c>
      <c r="B40" s="148" t="s">
        <v>139</v>
      </c>
      <c r="C40" s="148" t="s">
        <v>88</v>
      </c>
      <c r="D40" s="174" t="s">
        <v>82</v>
      </c>
      <c r="E40" s="165">
        <v>31.04</v>
      </c>
      <c r="F40" s="175" t="s">
        <v>94</v>
      </c>
      <c r="G40" s="176">
        <f>7.74*17697</f>
        <v>136974.78</v>
      </c>
      <c r="H40" s="152">
        <f t="shared" si="59"/>
        <v>171218.47500000001</v>
      </c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4">
        <v>0</v>
      </c>
      <c r="X40" s="154">
        <f t="shared" si="8"/>
        <v>0</v>
      </c>
      <c r="Y40" s="168"/>
      <c r="Z40" s="167"/>
      <c r="AA40" s="153"/>
      <c r="AB40" s="153"/>
      <c r="AC40" s="154">
        <f t="shared" si="9"/>
        <v>0</v>
      </c>
      <c r="AD40" s="154">
        <f t="shared" si="9"/>
        <v>0</v>
      </c>
      <c r="AE40" s="152">
        <f t="shared" si="60"/>
        <v>0</v>
      </c>
      <c r="AF40" s="152">
        <f t="shared" si="61"/>
        <v>0</v>
      </c>
      <c r="AG40" s="152">
        <f t="shared" si="62"/>
        <v>0</v>
      </c>
      <c r="AH40" s="152">
        <f t="shared" si="63"/>
        <v>0</v>
      </c>
      <c r="AI40" s="152">
        <f t="shared" si="64"/>
        <v>0</v>
      </c>
      <c r="AJ40" s="152">
        <f t="shared" si="65"/>
        <v>0</v>
      </c>
      <c r="AK40" s="152">
        <f t="shared" si="66"/>
        <v>0</v>
      </c>
      <c r="AL40" s="152">
        <f t="shared" si="67"/>
        <v>0</v>
      </c>
      <c r="AM40" s="152">
        <f t="shared" si="68"/>
        <v>0</v>
      </c>
      <c r="AN40" s="152">
        <f t="shared" si="69"/>
        <v>0</v>
      </c>
      <c r="AO40" s="152">
        <f t="shared" si="70"/>
        <v>0</v>
      </c>
      <c r="AP40" s="152">
        <f t="shared" si="71"/>
        <v>0</v>
      </c>
      <c r="AQ40" s="155"/>
      <c r="AR40" s="152">
        <f t="shared" si="38"/>
        <v>0</v>
      </c>
      <c r="AS40" s="155"/>
      <c r="AT40" s="152">
        <f t="shared" si="39"/>
        <v>0</v>
      </c>
      <c r="AU40" s="155"/>
      <c r="AV40" s="152">
        <f t="shared" si="40"/>
        <v>0</v>
      </c>
      <c r="AW40" s="155"/>
      <c r="AX40" s="152">
        <f t="shared" si="21"/>
        <v>0</v>
      </c>
      <c r="AY40" s="155"/>
      <c r="AZ40" s="152">
        <f t="shared" si="38"/>
        <v>0</v>
      </c>
      <c r="BA40" s="155"/>
      <c r="BB40" s="152">
        <f t="shared" si="39"/>
        <v>0</v>
      </c>
      <c r="BC40" s="155"/>
      <c r="BD40" s="152">
        <f t="shared" si="40"/>
        <v>0</v>
      </c>
      <c r="BE40" s="155"/>
      <c r="BF40" s="152">
        <f t="shared" si="21"/>
        <v>0</v>
      </c>
      <c r="BG40" s="155"/>
      <c r="BH40" s="152">
        <f t="shared" si="41"/>
        <v>0</v>
      </c>
      <c r="BI40" s="155"/>
      <c r="BJ40" s="152">
        <f t="shared" si="42"/>
        <v>0</v>
      </c>
      <c r="BK40" s="155"/>
      <c r="BL40" s="152">
        <f t="shared" si="43"/>
        <v>0</v>
      </c>
      <c r="BM40" s="155"/>
      <c r="BN40" s="152"/>
      <c r="BO40" s="156"/>
      <c r="BP40" s="152">
        <f t="shared" si="45"/>
        <v>0</v>
      </c>
      <c r="BQ40" s="156"/>
      <c r="BR40" s="152">
        <f t="shared" si="46"/>
        <v>0</v>
      </c>
      <c r="BS40" s="155"/>
      <c r="BT40" s="152">
        <f t="shared" si="55"/>
        <v>0</v>
      </c>
      <c r="BU40" s="155"/>
      <c r="BV40" s="152">
        <f t="shared" si="56"/>
        <v>0</v>
      </c>
      <c r="BW40" s="151"/>
      <c r="BX40" s="152">
        <f t="shared" si="57"/>
        <v>0</v>
      </c>
      <c r="BY40" s="157"/>
      <c r="BZ40" s="152">
        <f t="shared" si="47"/>
        <v>0</v>
      </c>
      <c r="CA40" s="157"/>
      <c r="CB40" s="152">
        <f t="shared" si="48"/>
        <v>0</v>
      </c>
      <c r="CC40" s="158"/>
      <c r="CD40" s="152">
        <f t="shared" si="49"/>
        <v>0</v>
      </c>
      <c r="CE40" s="155">
        <f t="shared" si="50"/>
        <v>0</v>
      </c>
      <c r="CF40" s="152">
        <f t="shared" si="51"/>
        <v>0</v>
      </c>
      <c r="CG40" s="152"/>
      <c r="CH40" s="152">
        <f t="shared" si="52"/>
        <v>0</v>
      </c>
      <c r="CI40" s="152"/>
      <c r="CJ40" s="159">
        <f t="shared" si="53"/>
        <v>0</v>
      </c>
      <c r="CK40" s="152">
        <f t="shared" si="25"/>
        <v>0</v>
      </c>
      <c r="CL40" s="160">
        <f t="shared" si="54"/>
        <v>0</v>
      </c>
    </row>
    <row r="41" spans="1:90" s="161" customFormat="1" x14ac:dyDescent="0.25">
      <c r="A41" s="171">
        <v>9</v>
      </c>
      <c r="B41" s="177" t="s">
        <v>105</v>
      </c>
      <c r="C41" s="177" t="s">
        <v>89</v>
      </c>
      <c r="D41" s="187" t="s">
        <v>82</v>
      </c>
      <c r="E41" s="170">
        <v>13.09</v>
      </c>
      <c r="F41" s="164" t="s">
        <v>92</v>
      </c>
      <c r="G41" s="166">
        <f>7.425*17697</f>
        <v>131400.22500000001</v>
      </c>
      <c r="H41" s="152">
        <f t="shared" si="59"/>
        <v>164250.28125</v>
      </c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4">
        <f t="shared" ref="W41:X62" si="72">M41+O41+Q41+S41+U41</f>
        <v>0</v>
      </c>
      <c r="X41" s="154">
        <f t="shared" si="72"/>
        <v>0</v>
      </c>
      <c r="Y41" s="188"/>
      <c r="Z41" s="167"/>
      <c r="AA41" s="153">
        <v>1</v>
      </c>
      <c r="AB41" s="153"/>
      <c r="AC41" s="154">
        <f t="shared" ref="AC41:AD61" si="73">Y41+AA41</f>
        <v>1</v>
      </c>
      <c r="AD41" s="154">
        <f t="shared" si="73"/>
        <v>0</v>
      </c>
      <c r="AE41" s="152">
        <f t="shared" si="60"/>
        <v>0</v>
      </c>
      <c r="AF41" s="152">
        <f t="shared" si="61"/>
        <v>0</v>
      </c>
      <c r="AG41" s="152">
        <f t="shared" si="62"/>
        <v>0</v>
      </c>
      <c r="AH41" s="152">
        <f t="shared" si="63"/>
        <v>0</v>
      </c>
      <c r="AI41" s="152">
        <f t="shared" si="64"/>
        <v>0</v>
      </c>
      <c r="AJ41" s="152">
        <f t="shared" si="65"/>
        <v>0</v>
      </c>
      <c r="AK41" s="152">
        <f t="shared" si="66"/>
        <v>0</v>
      </c>
      <c r="AL41" s="152">
        <f t="shared" si="67"/>
        <v>0</v>
      </c>
      <c r="AM41" s="152">
        <f t="shared" si="68"/>
        <v>0</v>
      </c>
      <c r="AN41" s="152">
        <f t="shared" si="69"/>
        <v>9125.015625</v>
      </c>
      <c r="AO41" s="152">
        <f t="shared" si="70"/>
        <v>9125.015625</v>
      </c>
      <c r="AP41" s="152">
        <f t="shared" si="71"/>
        <v>9125.015625</v>
      </c>
      <c r="AQ41" s="155"/>
      <c r="AR41" s="152">
        <f t="shared" ref="AR41:AR62" si="74">(17697*50/100)/18*AQ41</f>
        <v>0</v>
      </c>
      <c r="AS41" s="155"/>
      <c r="AT41" s="152">
        <f t="shared" ref="AT41:AT62" si="75">(17697*25/100)/18*AS41</f>
        <v>0</v>
      </c>
      <c r="AU41" s="155"/>
      <c r="AV41" s="152">
        <f t="shared" ref="AV41:AV62" si="76">(17697*40/100)/18*AU41</f>
        <v>0</v>
      </c>
      <c r="AW41" s="155"/>
      <c r="AX41" s="152">
        <f t="shared" ref="AX41:AX62" si="77">(17697*20/100)/18*AW41</f>
        <v>0</v>
      </c>
      <c r="AY41" s="155"/>
      <c r="AZ41" s="152">
        <f t="shared" ref="AZ41:AZ62" si="78">(17697*50/100)/18*AY41</f>
        <v>0</v>
      </c>
      <c r="BA41" s="155"/>
      <c r="BB41" s="152">
        <f t="shared" ref="BB41:BB62" si="79">(17697*25/100)/18*BA41</f>
        <v>0</v>
      </c>
      <c r="BC41" s="155"/>
      <c r="BD41" s="152">
        <f t="shared" ref="BD41:BD62" si="80">(17697*40/100)/18*BC41</f>
        <v>0</v>
      </c>
      <c r="BE41" s="155"/>
      <c r="BF41" s="152">
        <f t="shared" ref="BF41:BF62" si="81">(17697*20/100)/18*BE41</f>
        <v>0</v>
      </c>
      <c r="BG41" s="155"/>
      <c r="BH41" s="152">
        <f t="shared" ref="BH41:BH62" si="82">(17697*50/100)/18*BG41</f>
        <v>0</v>
      </c>
      <c r="BI41" s="155"/>
      <c r="BJ41" s="152">
        <f t="shared" ref="BJ41:BJ62" si="83">(17697*25/100)/18*BI41</f>
        <v>0</v>
      </c>
      <c r="BK41" s="155"/>
      <c r="BL41" s="152">
        <f t="shared" ref="BL41:BL62" si="84">(17697*40/100)/18*BK41</f>
        <v>0</v>
      </c>
      <c r="BM41" s="155"/>
      <c r="BN41" s="152">
        <f t="shared" ref="BN41:BN62" si="85">(17697*20/100)/18*BM41</f>
        <v>0</v>
      </c>
      <c r="BO41" s="156"/>
      <c r="BP41" s="152">
        <f t="shared" si="45"/>
        <v>0</v>
      </c>
      <c r="BQ41" s="156"/>
      <c r="BR41" s="152">
        <f t="shared" si="46"/>
        <v>0</v>
      </c>
      <c r="BS41" s="155"/>
      <c r="BT41" s="152">
        <f t="shared" si="55"/>
        <v>0</v>
      </c>
      <c r="BU41" s="155"/>
      <c r="BV41" s="152">
        <f t="shared" si="56"/>
        <v>0</v>
      </c>
      <c r="BW41" s="151"/>
      <c r="BX41" s="152">
        <f t="shared" si="57"/>
        <v>0</v>
      </c>
      <c r="BY41" s="157"/>
      <c r="BZ41" s="152">
        <f t="shared" si="47"/>
        <v>0</v>
      </c>
      <c r="CA41" s="157">
        <v>1</v>
      </c>
      <c r="CB41" s="152">
        <f>H41*0.35/18*CA41</f>
        <v>3193.7554687499996</v>
      </c>
      <c r="CC41" s="158"/>
      <c r="CD41" s="152">
        <f t="shared" si="49"/>
        <v>0</v>
      </c>
      <c r="CE41" s="155">
        <f t="shared" si="50"/>
        <v>1</v>
      </c>
      <c r="CF41" s="152">
        <f t="shared" si="51"/>
        <v>2737.5046874999998</v>
      </c>
      <c r="CG41" s="152"/>
      <c r="CH41" s="152">
        <f t="shared" si="52"/>
        <v>912.50156250000009</v>
      </c>
      <c r="CI41" s="152"/>
      <c r="CJ41" s="159">
        <f t="shared" si="53"/>
        <v>912.50156250000009</v>
      </c>
      <c r="CK41" s="152">
        <f t="shared" si="25"/>
        <v>10037.5171875</v>
      </c>
      <c r="CL41" s="160">
        <f t="shared" si="54"/>
        <v>15968.777343749998</v>
      </c>
    </row>
    <row r="42" spans="1:90" s="62" customFormat="1" x14ac:dyDescent="0.25">
      <c r="A42" s="52"/>
      <c r="B42" s="71"/>
      <c r="C42" s="71"/>
      <c r="D42" s="85"/>
      <c r="E42" s="68"/>
      <c r="F42" s="75"/>
      <c r="G42" s="80"/>
      <c r="H42" s="49">
        <f t="shared" si="59"/>
        <v>0</v>
      </c>
      <c r="I42" s="51"/>
      <c r="J42" s="51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7">
        <f t="shared" si="72"/>
        <v>0</v>
      </c>
      <c r="X42" s="47">
        <f t="shared" si="72"/>
        <v>0</v>
      </c>
      <c r="Y42" s="69"/>
      <c r="Z42" s="51"/>
      <c r="AA42" s="48"/>
      <c r="AB42" s="48"/>
      <c r="AC42" s="47">
        <f t="shared" si="73"/>
        <v>0</v>
      </c>
      <c r="AD42" s="47">
        <f t="shared" si="73"/>
        <v>0</v>
      </c>
      <c r="AE42" s="49">
        <f t="shared" si="60"/>
        <v>0</v>
      </c>
      <c r="AF42" s="49">
        <f t="shared" si="61"/>
        <v>0</v>
      </c>
      <c r="AG42" s="49">
        <f t="shared" si="62"/>
        <v>0</v>
      </c>
      <c r="AH42" s="49">
        <f t="shared" si="63"/>
        <v>0</v>
      </c>
      <c r="AI42" s="49">
        <f t="shared" si="64"/>
        <v>0</v>
      </c>
      <c r="AJ42" s="49">
        <f t="shared" si="65"/>
        <v>0</v>
      </c>
      <c r="AK42" s="49">
        <f t="shared" si="66"/>
        <v>0</v>
      </c>
      <c r="AL42" s="49">
        <f t="shared" si="67"/>
        <v>0</v>
      </c>
      <c r="AM42" s="49">
        <f t="shared" si="68"/>
        <v>0</v>
      </c>
      <c r="AN42" s="49">
        <f t="shared" si="69"/>
        <v>0</v>
      </c>
      <c r="AO42" s="49">
        <f t="shared" si="70"/>
        <v>0</v>
      </c>
      <c r="AP42" s="49">
        <f t="shared" si="71"/>
        <v>0</v>
      </c>
      <c r="AQ42" s="57"/>
      <c r="AR42" s="49">
        <f t="shared" si="74"/>
        <v>0</v>
      </c>
      <c r="AS42" s="57"/>
      <c r="AT42" s="49">
        <f t="shared" si="75"/>
        <v>0</v>
      </c>
      <c r="AU42" s="57"/>
      <c r="AV42" s="49">
        <f t="shared" si="76"/>
        <v>0</v>
      </c>
      <c r="AW42" s="57"/>
      <c r="AX42" s="49">
        <f t="shared" si="77"/>
        <v>0</v>
      </c>
      <c r="AY42" s="57"/>
      <c r="AZ42" s="49">
        <f t="shared" si="78"/>
        <v>0</v>
      </c>
      <c r="BA42" s="57"/>
      <c r="BB42" s="49">
        <f t="shared" si="79"/>
        <v>0</v>
      </c>
      <c r="BC42" s="57"/>
      <c r="BD42" s="49">
        <f t="shared" si="80"/>
        <v>0</v>
      </c>
      <c r="BE42" s="57"/>
      <c r="BF42" s="49">
        <f t="shared" si="81"/>
        <v>0</v>
      </c>
      <c r="BG42" s="57"/>
      <c r="BH42" s="49">
        <f t="shared" si="82"/>
        <v>0</v>
      </c>
      <c r="BI42" s="57"/>
      <c r="BJ42" s="49">
        <f t="shared" si="83"/>
        <v>0</v>
      </c>
      <c r="BK42" s="57"/>
      <c r="BL42" s="49">
        <f t="shared" si="84"/>
        <v>0</v>
      </c>
      <c r="BM42" s="57"/>
      <c r="BN42" s="49">
        <f t="shared" si="85"/>
        <v>0</v>
      </c>
      <c r="BO42" s="83"/>
      <c r="BP42" s="49">
        <f t="shared" si="45"/>
        <v>0</v>
      </c>
      <c r="BQ42" s="58"/>
      <c r="BR42" s="49">
        <f t="shared" si="46"/>
        <v>0</v>
      </c>
      <c r="BS42" s="57"/>
      <c r="BT42" s="49"/>
      <c r="BU42" s="57"/>
      <c r="BV42" s="49"/>
      <c r="BW42" s="56"/>
      <c r="BX42" s="49"/>
      <c r="BY42" s="59"/>
      <c r="BZ42" s="49">
        <f t="shared" si="47"/>
        <v>0</v>
      </c>
      <c r="CA42" s="59"/>
      <c r="CB42" s="49">
        <f t="shared" si="48"/>
        <v>0</v>
      </c>
      <c r="CC42" s="60"/>
      <c r="CD42" s="49">
        <f t="shared" si="49"/>
        <v>0</v>
      </c>
      <c r="CE42" s="57">
        <f t="shared" si="50"/>
        <v>0</v>
      </c>
      <c r="CF42" s="49">
        <f t="shared" si="51"/>
        <v>0</v>
      </c>
      <c r="CG42" s="49"/>
      <c r="CH42" s="49">
        <f t="shared" si="52"/>
        <v>0</v>
      </c>
      <c r="CI42" s="49"/>
      <c r="CJ42" s="61">
        <f t="shared" si="53"/>
        <v>0</v>
      </c>
      <c r="CK42" s="49">
        <f t="shared" si="25"/>
        <v>0</v>
      </c>
      <c r="CL42" s="106">
        <f t="shared" si="54"/>
        <v>0</v>
      </c>
    </row>
    <row r="43" spans="1:90" s="62" customFormat="1" x14ac:dyDescent="0.25">
      <c r="A43" s="70"/>
      <c r="B43" s="84"/>
      <c r="C43" s="79"/>
      <c r="D43" s="75"/>
      <c r="E43" s="68"/>
      <c r="F43" s="75"/>
      <c r="G43" s="80"/>
      <c r="H43" s="49">
        <f t="shared" si="59"/>
        <v>0</v>
      </c>
      <c r="I43" s="51"/>
      <c r="J43" s="51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7">
        <f t="shared" si="72"/>
        <v>0</v>
      </c>
      <c r="X43" s="47">
        <f t="shared" si="72"/>
        <v>0</v>
      </c>
      <c r="Y43" s="48"/>
      <c r="Z43" s="48"/>
      <c r="AA43" s="48"/>
      <c r="AB43" s="48"/>
      <c r="AC43" s="47">
        <f t="shared" si="73"/>
        <v>0</v>
      </c>
      <c r="AD43" s="47">
        <f t="shared" si="73"/>
        <v>0</v>
      </c>
      <c r="AE43" s="49">
        <f t="shared" si="60"/>
        <v>0</v>
      </c>
      <c r="AF43" s="49">
        <f t="shared" si="61"/>
        <v>0</v>
      </c>
      <c r="AG43" s="49">
        <f t="shared" si="62"/>
        <v>0</v>
      </c>
      <c r="AH43" s="49">
        <f t="shared" si="63"/>
        <v>0</v>
      </c>
      <c r="AI43" s="49">
        <f t="shared" si="64"/>
        <v>0</v>
      </c>
      <c r="AJ43" s="49">
        <f t="shared" si="65"/>
        <v>0</v>
      </c>
      <c r="AK43" s="49">
        <f t="shared" si="66"/>
        <v>0</v>
      </c>
      <c r="AL43" s="49">
        <f t="shared" si="67"/>
        <v>0</v>
      </c>
      <c r="AM43" s="49">
        <f t="shared" si="68"/>
        <v>0</v>
      </c>
      <c r="AN43" s="49">
        <f t="shared" si="69"/>
        <v>0</v>
      </c>
      <c r="AO43" s="49">
        <f t="shared" si="70"/>
        <v>0</v>
      </c>
      <c r="AP43" s="49">
        <f t="shared" si="71"/>
        <v>0</v>
      </c>
      <c r="AQ43" s="57"/>
      <c r="AR43" s="49">
        <f t="shared" si="74"/>
        <v>0</v>
      </c>
      <c r="AS43" s="57"/>
      <c r="AT43" s="49">
        <f t="shared" si="75"/>
        <v>0</v>
      </c>
      <c r="AU43" s="57"/>
      <c r="AV43" s="49">
        <f t="shared" si="76"/>
        <v>0</v>
      </c>
      <c r="AW43" s="57"/>
      <c r="AX43" s="49">
        <f t="shared" si="77"/>
        <v>0</v>
      </c>
      <c r="AY43" s="57"/>
      <c r="AZ43" s="49">
        <f t="shared" si="78"/>
        <v>0</v>
      </c>
      <c r="BA43" s="57"/>
      <c r="BB43" s="49">
        <f t="shared" si="79"/>
        <v>0</v>
      </c>
      <c r="BC43" s="57"/>
      <c r="BD43" s="49">
        <f t="shared" si="80"/>
        <v>0</v>
      </c>
      <c r="BE43" s="57"/>
      <c r="BF43" s="49">
        <f t="shared" si="81"/>
        <v>0</v>
      </c>
      <c r="BG43" s="57"/>
      <c r="BH43" s="49">
        <f t="shared" si="82"/>
        <v>0</v>
      </c>
      <c r="BI43" s="57"/>
      <c r="BJ43" s="49">
        <f t="shared" si="83"/>
        <v>0</v>
      </c>
      <c r="BK43" s="57"/>
      <c r="BL43" s="49">
        <f t="shared" si="84"/>
        <v>0</v>
      </c>
      <c r="BM43" s="57"/>
      <c r="BN43" s="49">
        <f t="shared" si="85"/>
        <v>0</v>
      </c>
      <c r="BO43" s="58"/>
      <c r="BP43" s="49">
        <f t="shared" si="45"/>
        <v>0</v>
      </c>
      <c r="BQ43" s="58"/>
      <c r="BR43" s="49">
        <f t="shared" si="46"/>
        <v>0</v>
      </c>
      <c r="BS43" s="57"/>
      <c r="BT43" s="49"/>
      <c r="BU43" s="57"/>
      <c r="BV43" s="49"/>
      <c r="BW43" s="56"/>
      <c r="BX43" s="49"/>
      <c r="BY43" s="59"/>
      <c r="BZ43" s="49">
        <f t="shared" si="47"/>
        <v>0</v>
      </c>
      <c r="CA43" s="59"/>
      <c r="CB43" s="49">
        <f t="shared" si="48"/>
        <v>0</v>
      </c>
      <c r="CC43" s="60"/>
      <c r="CD43" s="49">
        <f t="shared" si="49"/>
        <v>0</v>
      </c>
      <c r="CE43" s="57">
        <f t="shared" si="50"/>
        <v>0</v>
      </c>
      <c r="CF43" s="49">
        <f t="shared" si="51"/>
        <v>0</v>
      </c>
      <c r="CG43" s="49"/>
      <c r="CH43" s="49">
        <f t="shared" si="52"/>
        <v>0</v>
      </c>
      <c r="CI43" s="49"/>
      <c r="CJ43" s="61">
        <f t="shared" si="53"/>
        <v>0</v>
      </c>
      <c r="CK43" s="49">
        <f t="shared" si="25"/>
        <v>0</v>
      </c>
      <c r="CL43" s="106">
        <f t="shared" si="54"/>
        <v>0</v>
      </c>
    </row>
    <row r="44" spans="1:90" s="62" customFormat="1" x14ac:dyDescent="0.25">
      <c r="A44" s="70"/>
      <c r="B44" s="84"/>
      <c r="C44" s="79"/>
      <c r="D44" s="75"/>
      <c r="E44" s="68"/>
      <c r="F44" s="75"/>
      <c r="G44" s="80"/>
      <c r="H44" s="49">
        <f t="shared" si="59"/>
        <v>0</v>
      </c>
      <c r="I44" s="51"/>
      <c r="J44" s="51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7">
        <f t="shared" si="72"/>
        <v>0</v>
      </c>
      <c r="X44" s="47">
        <f t="shared" si="72"/>
        <v>0</v>
      </c>
      <c r="Y44" s="48"/>
      <c r="Z44" s="48"/>
      <c r="AA44" s="48"/>
      <c r="AB44" s="48"/>
      <c r="AC44" s="47">
        <f t="shared" si="73"/>
        <v>0</v>
      </c>
      <c r="AD44" s="47">
        <f t="shared" si="73"/>
        <v>0</v>
      </c>
      <c r="AE44" s="49">
        <f t="shared" si="60"/>
        <v>0</v>
      </c>
      <c r="AF44" s="49">
        <f t="shared" si="61"/>
        <v>0</v>
      </c>
      <c r="AG44" s="49">
        <f t="shared" si="62"/>
        <v>0</v>
      </c>
      <c r="AH44" s="49">
        <f t="shared" si="63"/>
        <v>0</v>
      </c>
      <c r="AI44" s="49">
        <f t="shared" si="64"/>
        <v>0</v>
      </c>
      <c r="AJ44" s="49">
        <f t="shared" si="65"/>
        <v>0</v>
      </c>
      <c r="AK44" s="49">
        <f t="shared" si="66"/>
        <v>0</v>
      </c>
      <c r="AL44" s="49">
        <f t="shared" si="67"/>
        <v>0</v>
      </c>
      <c r="AM44" s="49">
        <f t="shared" si="68"/>
        <v>0</v>
      </c>
      <c r="AN44" s="49">
        <f t="shared" si="69"/>
        <v>0</v>
      </c>
      <c r="AO44" s="49">
        <f t="shared" si="70"/>
        <v>0</v>
      </c>
      <c r="AP44" s="49">
        <f t="shared" si="71"/>
        <v>0</v>
      </c>
      <c r="AQ44" s="57"/>
      <c r="AR44" s="49">
        <f t="shared" si="74"/>
        <v>0</v>
      </c>
      <c r="AS44" s="57"/>
      <c r="AT44" s="49">
        <f t="shared" si="75"/>
        <v>0</v>
      </c>
      <c r="AU44" s="57"/>
      <c r="AV44" s="49">
        <f t="shared" si="76"/>
        <v>0</v>
      </c>
      <c r="AW44" s="57"/>
      <c r="AX44" s="49">
        <f t="shared" si="77"/>
        <v>0</v>
      </c>
      <c r="AY44" s="57"/>
      <c r="AZ44" s="49">
        <f t="shared" si="78"/>
        <v>0</v>
      </c>
      <c r="BA44" s="57"/>
      <c r="BB44" s="49">
        <f t="shared" si="79"/>
        <v>0</v>
      </c>
      <c r="BC44" s="57"/>
      <c r="BD44" s="49">
        <f t="shared" si="80"/>
        <v>0</v>
      </c>
      <c r="BE44" s="57"/>
      <c r="BF44" s="49">
        <f t="shared" si="81"/>
        <v>0</v>
      </c>
      <c r="BG44" s="57"/>
      <c r="BH44" s="49">
        <f t="shared" si="82"/>
        <v>0</v>
      </c>
      <c r="BI44" s="57"/>
      <c r="BJ44" s="49">
        <f t="shared" si="83"/>
        <v>0</v>
      </c>
      <c r="BK44" s="57"/>
      <c r="BL44" s="49">
        <f t="shared" si="84"/>
        <v>0</v>
      </c>
      <c r="BM44" s="57"/>
      <c r="BN44" s="49">
        <f t="shared" si="85"/>
        <v>0</v>
      </c>
      <c r="BO44" s="58"/>
      <c r="BP44" s="49">
        <f t="shared" si="45"/>
        <v>0</v>
      </c>
      <c r="BQ44" s="58"/>
      <c r="BR44" s="49">
        <f t="shared" si="46"/>
        <v>0</v>
      </c>
      <c r="BS44" s="57"/>
      <c r="BT44" s="49"/>
      <c r="BU44" s="57"/>
      <c r="BV44" s="49"/>
      <c r="BW44" s="56"/>
      <c r="BX44" s="49"/>
      <c r="BY44" s="59"/>
      <c r="BZ44" s="49">
        <f t="shared" si="47"/>
        <v>0</v>
      </c>
      <c r="CA44" s="59"/>
      <c r="CB44" s="49">
        <f t="shared" si="48"/>
        <v>0</v>
      </c>
      <c r="CC44" s="60"/>
      <c r="CD44" s="49">
        <f t="shared" si="49"/>
        <v>0</v>
      </c>
      <c r="CE44" s="57">
        <f t="shared" si="50"/>
        <v>0</v>
      </c>
      <c r="CF44" s="49">
        <f t="shared" si="51"/>
        <v>0</v>
      </c>
      <c r="CG44" s="49"/>
      <c r="CH44" s="49">
        <f t="shared" si="52"/>
        <v>0</v>
      </c>
      <c r="CI44" s="49"/>
      <c r="CJ44" s="61">
        <f t="shared" si="53"/>
        <v>0</v>
      </c>
      <c r="CK44" s="49">
        <f t="shared" si="25"/>
        <v>0</v>
      </c>
      <c r="CL44" s="106">
        <f t="shared" si="54"/>
        <v>0</v>
      </c>
    </row>
    <row r="45" spans="1:90" s="161" customFormat="1" x14ac:dyDescent="0.25">
      <c r="A45" s="171">
        <v>11</v>
      </c>
      <c r="B45" s="172" t="s">
        <v>112</v>
      </c>
      <c r="C45" s="173" t="s">
        <v>91</v>
      </c>
      <c r="D45" s="174" t="s">
        <v>82</v>
      </c>
      <c r="E45" s="170">
        <v>4.04</v>
      </c>
      <c r="F45" s="164" t="s">
        <v>94</v>
      </c>
      <c r="G45" s="166">
        <f>6.885*17697</f>
        <v>121843.845</v>
      </c>
      <c r="H45" s="152">
        <f t="shared" si="59"/>
        <v>152304.80624999999</v>
      </c>
      <c r="I45" s="153"/>
      <c r="J45" s="153"/>
      <c r="K45" s="153"/>
      <c r="L45" s="153"/>
      <c r="M45" s="153"/>
      <c r="N45" s="153"/>
      <c r="O45" s="153"/>
      <c r="P45" s="153"/>
      <c r="Q45" s="153">
        <v>2</v>
      </c>
      <c r="R45" s="153"/>
      <c r="S45" s="153"/>
      <c r="T45" s="153"/>
      <c r="U45" s="153">
        <v>2</v>
      </c>
      <c r="V45" s="153"/>
      <c r="W45" s="154">
        <f t="shared" si="72"/>
        <v>4</v>
      </c>
      <c r="X45" s="154">
        <f t="shared" si="72"/>
        <v>0</v>
      </c>
      <c r="Y45" s="153"/>
      <c r="Z45" s="153"/>
      <c r="AA45" s="153">
        <v>4</v>
      </c>
      <c r="AB45" s="153">
        <v>1</v>
      </c>
      <c r="AC45" s="154">
        <f t="shared" si="73"/>
        <v>4</v>
      </c>
      <c r="AD45" s="154">
        <f t="shared" si="73"/>
        <v>1</v>
      </c>
      <c r="AE45" s="152">
        <f t="shared" si="60"/>
        <v>0</v>
      </c>
      <c r="AF45" s="152">
        <f t="shared" si="61"/>
        <v>0</v>
      </c>
      <c r="AG45" s="152">
        <f t="shared" si="62"/>
        <v>0</v>
      </c>
      <c r="AH45" s="152">
        <f t="shared" si="63"/>
        <v>0</v>
      </c>
      <c r="AI45" s="152">
        <f t="shared" si="64"/>
        <v>16922.756249999999</v>
      </c>
      <c r="AJ45" s="152">
        <f t="shared" si="65"/>
        <v>0</v>
      </c>
      <c r="AK45" s="152">
        <f t="shared" si="66"/>
        <v>16922.756249999999</v>
      </c>
      <c r="AL45" s="152">
        <f t="shared" si="67"/>
        <v>33845.512499999997</v>
      </c>
      <c r="AM45" s="152">
        <f t="shared" si="68"/>
        <v>0</v>
      </c>
      <c r="AN45" s="152">
        <f t="shared" si="69"/>
        <v>42306.890625</v>
      </c>
      <c r="AO45" s="152">
        <f t="shared" si="70"/>
        <v>42306.890625</v>
      </c>
      <c r="AP45" s="152">
        <f t="shared" si="71"/>
        <v>76152.403124999997</v>
      </c>
      <c r="AQ45" s="155"/>
      <c r="AR45" s="152">
        <f t="shared" si="74"/>
        <v>0</v>
      </c>
      <c r="AS45" s="155"/>
      <c r="AT45" s="152">
        <f t="shared" si="75"/>
        <v>0</v>
      </c>
      <c r="AU45" s="155"/>
      <c r="AV45" s="152">
        <f t="shared" si="76"/>
        <v>0</v>
      </c>
      <c r="AW45" s="155"/>
      <c r="AX45" s="152">
        <f t="shared" si="77"/>
        <v>0</v>
      </c>
      <c r="AY45" s="155"/>
      <c r="AZ45" s="152">
        <f t="shared" si="78"/>
        <v>0</v>
      </c>
      <c r="BA45" s="155"/>
      <c r="BB45" s="152">
        <f t="shared" si="79"/>
        <v>0</v>
      </c>
      <c r="BC45" s="155"/>
      <c r="BD45" s="152">
        <f t="shared" si="80"/>
        <v>0</v>
      </c>
      <c r="BE45" s="155"/>
      <c r="BF45" s="152">
        <f t="shared" si="81"/>
        <v>0</v>
      </c>
      <c r="BG45" s="155"/>
      <c r="BH45" s="152">
        <f t="shared" si="82"/>
        <v>0</v>
      </c>
      <c r="BI45" s="155"/>
      <c r="BJ45" s="152">
        <f t="shared" si="83"/>
        <v>0</v>
      </c>
      <c r="BK45" s="155"/>
      <c r="BL45" s="152">
        <f t="shared" si="84"/>
        <v>0</v>
      </c>
      <c r="BM45" s="155"/>
      <c r="BN45" s="152">
        <f t="shared" si="85"/>
        <v>0</v>
      </c>
      <c r="BO45" s="156">
        <v>0.5</v>
      </c>
      <c r="BP45" s="152">
        <f t="shared" si="45"/>
        <v>5309.1</v>
      </c>
      <c r="BQ45" s="156"/>
      <c r="BR45" s="152">
        <f t="shared" si="46"/>
        <v>0</v>
      </c>
      <c r="BS45" s="155"/>
      <c r="BT45" s="152">
        <f t="shared" si="55"/>
        <v>0</v>
      </c>
      <c r="BU45" s="155"/>
      <c r="BV45" s="152">
        <f t="shared" si="56"/>
        <v>0</v>
      </c>
      <c r="BW45" s="151"/>
      <c r="BX45" s="152">
        <f t="shared" si="57"/>
        <v>0</v>
      </c>
      <c r="BY45" s="157">
        <v>9</v>
      </c>
      <c r="BZ45" s="152">
        <f t="shared" si="47"/>
        <v>22845.720937499998</v>
      </c>
      <c r="CA45" s="157"/>
      <c r="CB45" s="152">
        <f t="shared" si="48"/>
        <v>0</v>
      </c>
      <c r="CC45" s="158"/>
      <c r="CD45" s="152">
        <f t="shared" si="49"/>
        <v>0</v>
      </c>
      <c r="CE45" s="155">
        <f t="shared" si="50"/>
        <v>9</v>
      </c>
      <c r="CF45" s="152">
        <f t="shared" si="51"/>
        <v>22845.720937499998</v>
      </c>
      <c r="CG45" s="152"/>
      <c r="CH45" s="152">
        <f t="shared" si="52"/>
        <v>7615.2403125000001</v>
      </c>
      <c r="CI45" s="152"/>
      <c r="CJ45" s="159">
        <f t="shared" si="53"/>
        <v>12924.3403125</v>
      </c>
      <c r="CK45" s="152">
        <f t="shared" si="25"/>
        <v>89076.743437500001</v>
      </c>
      <c r="CL45" s="160">
        <f t="shared" si="54"/>
        <v>134768.18531249999</v>
      </c>
    </row>
    <row r="46" spans="1:90" s="161" customFormat="1" x14ac:dyDescent="0.25">
      <c r="A46" s="147">
        <v>14</v>
      </c>
      <c r="B46" s="148" t="s">
        <v>108</v>
      </c>
      <c r="C46" s="186" t="s">
        <v>132</v>
      </c>
      <c r="D46" s="149" t="s">
        <v>82</v>
      </c>
      <c r="E46" s="150">
        <v>22.02</v>
      </c>
      <c r="F46" s="149" t="s">
        <v>96</v>
      </c>
      <c r="G46" s="151">
        <f>7.98*17697</f>
        <v>141222.06</v>
      </c>
      <c r="H46" s="152">
        <f t="shared" si="59"/>
        <v>176527.57500000001</v>
      </c>
      <c r="I46" s="153"/>
      <c r="J46" s="153"/>
      <c r="K46" s="153">
        <v>19</v>
      </c>
      <c r="L46" s="153">
        <v>1</v>
      </c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4">
        <f t="shared" si="72"/>
        <v>0</v>
      </c>
      <c r="X46" s="154">
        <f t="shared" si="72"/>
        <v>0</v>
      </c>
      <c r="Y46" s="153"/>
      <c r="Z46" s="153"/>
      <c r="AA46" s="153"/>
      <c r="AB46" s="153"/>
      <c r="AC46" s="154">
        <f t="shared" si="73"/>
        <v>0</v>
      </c>
      <c r="AD46" s="154">
        <f t="shared" si="73"/>
        <v>0</v>
      </c>
      <c r="AE46" s="152">
        <f t="shared" si="60"/>
        <v>0</v>
      </c>
      <c r="AF46" s="152">
        <f t="shared" si="61"/>
        <v>196141.75000000003</v>
      </c>
      <c r="AG46" s="152">
        <f t="shared" si="62"/>
        <v>0</v>
      </c>
      <c r="AH46" s="152">
        <f t="shared" si="63"/>
        <v>0</v>
      </c>
      <c r="AI46" s="152">
        <f t="shared" si="64"/>
        <v>0</v>
      </c>
      <c r="AJ46" s="152">
        <f t="shared" si="65"/>
        <v>0</v>
      </c>
      <c r="AK46" s="152">
        <f t="shared" si="66"/>
        <v>0</v>
      </c>
      <c r="AL46" s="152">
        <f t="shared" si="67"/>
        <v>0</v>
      </c>
      <c r="AM46" s="152">
        <f t="shared" si="68"/>
        <v>0</v>
      </c>
      <c r="AN46" s="152">
        <f t="shared" si="69"/>
        <v>0</v>
      </c>
      <c r="AO46" s="152">
        <f t="shared" si="70"/>
        <v>0</v>
      </c>
      <c r="AP46" s="152">
        <f t="shared" si="71"/>
        <v>196141.75000000003</v>
      </c>
      <c r="AQ46" s="155"/>
      <c r="AR46" s="152">
        <f t="shared" si="74"/>
        <v>0</v>
      </c>
      <c r="AS46" s="155"/>
      <c r="AT46" s="152">
        <f t="shared" si="75"/>
        <v>0</v>
      </c>
      <c r="AU46" s="155"/>
      <c r="AV46" s="152">
        <f t="shared" si="76"/>
        <v>0</v>
      </c>
      <c r="AW46" s="155">
        <v>8</v>
      </c>
      <c r="AX46" s="152">
        <f t="shared" si="77"/>
        <v>1573.0666666666666</v>
      </c>
      <c r="AY46" s="155"/>
      <c r="AZ46" s="152">
        <f t="shared" si="78"/>
        <v>0</v>
      </c>
      <c r="BA46" s="155"/>
      <c r="BB46" s="152">
        <f t="shared" si="79"/>
        <v>0</v>
      </c>
      <c r="BC46" s="155"/>
      <c r="BD46" s="152">
        <f t="shared" si="80"/>
        <v>0</v>
      </c>
      <c r="BE46" s="155"/>
      <c r="BF46" s="152">
        <f t="shared" si="81"/>
        <v>0</v>
      </c>
      <c r="BG46" s="155"/>
      <c r="BH46" s="152">
        <f t="shared" si="82"/>
        <v>0</v>
      </c>
      <c r="BI46" s="155"/>
      <c r="BJ46" s="152">
        <f t="shared" si="83"/>
        <v>0</v>
      </c>
      <c r="BK46" s="155"/>
      <c r="BL46" s="152">
        <f t="shared" si="84"/>
        <v>0</v>
      </c>
      <c r="BM46" s="155"/>
      <c r="BN46" s="152">
        <f t="shared" si="85"/>
        <v>0</v>
      </c>
      <c r="BO46" s="156"/>
      <c r="BP46" s="152">
        <f t="shared" si="45"/>
        <v>0</v>
      </c>
      <c r="BQ46" s="156">
        <v>1</v>
      </c>
      <c r="BR46" s="152">
        <f t="shared" si="46"/>
        <v>8848.5</v>
      </c>
      <c r="BS46" s="155"/>
      <c r="BT46" s="152">
        <f t="shared" si="55"/>
        <v>0</v>
      </c>
      <c r="BU46" s="155"/>
      <c r="BV46" s="152">
        <f t="shared" si="56"/>
        <v>0</v>
      </c>
      <c r="BW46" s="151"/>
      <c r="BX46" s="152">
        <f t="shared" si="57"/>
        <v>0</v>
      </c>
      <c r="BY46" s="157"/>
      <c r="BZ46" s="152">
        <f t="shared" si="47"/>
        <v>0</v>
      </c>
      <c r="CA46" s="157"/>
      <c r="CB46" s="152">
        <f t="shared" si="48"/>
        <v>0</v>
      </c>
      <c r="CC46" s="158">
        <f>K46+L46</f>
        <v>20</v>
      </c>
      <c r="CD46" s="152">
        <f t="shared" si="49"/>
        <v>78456.700000000012</v>
      </c>
      <c r="CE46" s="155">
        <f t="shared" si="50"/>
        <v>20</v>
      </c>
      <c r="CF46" s="152">
        <f t="shared" si="51"/>
        <v>58842.524999999994</v>
      </c>
      <c r="CG46" s="152"/>
      <c r="CH46" s="152">
        <f t="shared" si="52"/>
        <v>19614.175000000003</v>
      </c>
      <c r="CI46" s="152"/>
      <c r="CJ46" s="159">
        <f t="shared" si="53"/>
        <v>30035.741666666669</v>
      </c>
      <c r="CK46" s="152">
        <f t="shared" si="25"/>
        <v>226177.4916666667</v>
      </c>
      <c r="CL46" s="160">
        <f t="shared" si="54"/>
        <v>363476.71666666673</v>
      </c>
    </row>
    <row r="47" spans="1:90" s="161" customFormat="1" x14ac:dyDescent="0.25">
      <c r="A47" s="147">
        <v>15</v>
      </c>
      <c r="B47" s="148" t="s">
        <v>109</v>
      </c>
      <c r="C47" s="148" t="s">
        <v>140</v>
      </c>
      <c r="D47" s="149" t="s">
        <v>82</v>
      </c>
      <c r="E47" s="150">
        <v>12.1</v>
      </c>
      <c r="F47" s="149" t="s">
        <v>93</v>
      </c>
      <c r="G47" s="151">
        <f>6.57*17697</f>
        <v>116269.29000000001</v>
      </c>
      <c r="H47" s="152">
        <f t="shared" si="59"/>
        <v>145336.61250000002</v>
      </c>
      <c r="I47" s="153"/>
      <c r="J47" s="153"/>
      <c r="K47" s="153">
        <v>18</v>
      </c>
      <c r="L47" s="153">
        <v>1</v>
      </c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4">
        <f t="shared" si="72"/>
        <v>0</v>
      </c>
      <c r="X47" s="154">
        <f t="shared" si="72"/>
        <v>0</v>
      </c>
      <c r="Y47" s="153"/>
      <c r="Z47" s="153"/>
      <c r="AA47" s="153"/>
      <c r="AB47" s="153"/>
      <c r="AC47" s="154">
        <f t="shared" si="73"/>
        <v>0</v>
      </c>
      <c r="AD47" s="154">
        <f t="shared" si="73"/>
        <v>0</v>
      </c>
      <c r="AE47" s="152">
        <f t="shared" si="60"/>
        <v>0</v>
      </c>
      <c r="AF47" s="152">
        <f t="shared" si="61"/>
        <v>153410.86875000002</v>
      </c>
      <c r="AG47" s="152">
        <f t="shared" si="62"/>
        <v>0</v>
      </c>
      <c r="AH47" s="152">
        <f t="shared" si="63"/>
        <v>0</v>
      </c>
      <c r="AI47" s="152">
        <f t="shared" si="64"/>
        <v>0</v>
      </c>
      <c r="AJ47" s="152">
        <f t="shared" si="65"/>
        <v>0</v>
      </c>
      <c r="AK47" s="152">
        <f t="shared" si="66"/>
        <v>0</v>
      </c>
      <c r="AL47" s="152">
        <f t="shared" si="67"/>
        <v>0</v>
      </c>
      <c r="AM47" s="152">
        <f t="shared" si="68"/>
        <v>0</v>
      </c>
      <c r="AN47" s="152">
        <f t="shared" si="69"/>
        <v>0</v>
      </c>
      <c r="AO47" s="152">
        <f t="shared" si="70"/>
        <v>0</v>
      </c>
      <c r="AP47" s="152">
        <f t="shared" si="71"/>
        <v>153410.86875000002</v>
      </c>
      <c r="AQ47" s="155"/>
      <c r="AR47" s="152">
        <f t="shared" si="74"/>
        <v>0</v>
      </c>
      <c r="AS47" s="155"/>
      <c r="AT47" s="152">
        <f t="shared" si="75"/>
        <v>0</v>
      </c>
      <c r="AU47" s="155"/>
      <c r="AV47" s="152">
        <f t="shared" si="76"/>
        <v>0</v>
      </c>
      <c r="AW47" s="155">
        <v>10</v>
      </c>
      <c r="AX47" s="152">
        <f t="shared" si="77"/>
        <v>1966.3333333333333</v>
      </c>
      <c r="AY47" s="155"/>
      <c r="AZ47" s="152">
        <f t="shared" si="78"/>
        <v>0</v>
      </c>
      <c r="BA47" s="155"/>
      <c r="BB47" s="152">
        <f t="shared" si="79"/>
        <v>0</v>
      </c>
      <c r="BC47" s="155"/>
      <c r="BD47" s="152">
        <f t="shared" si="80"/>
        <v>0</v>
      </c>
      <c r="BE47" s="155"/>
      <c r="BF47" s="152">
        <f t="shared" si="81"/>
        <v>0</v>
      </c>
      <c r="BG47" s="155"/>
      <c r="BH47" s="152">
        <f t="shared" si="82"/>
        <v>0</v>
      </c>
      <c r="BI47" s="155"/>
      <c r="BJ47" s="152">
        <f t="shared" si="83"/>
        <v>0</v>
      </c>
      <c r="BK47" s="155"/>
      <c r="BL47" s="152">
        <f t="shared" si="84"/>
        <v>0</v>
      </c>
      <c r="BM47" s="155"/>
      <c r="BN47" s="152">
        <f t="shared" si="85"/>
        <v>0</v>
      </c>
      <c r="BO47" s="156"/>
      <c r="BP47" s="152">
        <f t="shared" si="45"/>
        <v>0</v>
      </c>
      <c r="BQ47" s="156">
        <v>0.5</v>
      </c>
      <c r="BR47" s="152">
        <f t="shared" si="46"/>
        <v>4424.25</v>
      </c>
      <c r="BS47" s="155"/>
      <c r="BT47" s="152">
        <f t="shared" si="55"/>
        <v>0</v>
      </c>
      <c r="BU47" s="155"/>
      <c r="BV47" s="152">
        <f t="shared" si="56"/>
        <v>0</v>
      </c>
      <c r="BW47" s="151"/>
      <c r="BX47" s="152">
        <f t="shared" si="57"/>
        <v>0</v>
      </c>
      <c r="BY47" s="157"/>
      <c r="BZ47" s="152">
        <f t="shared" si="47"/>
        <v>0</v>
      </c>
      <c r="CA47" s="157"/>
      <c r="CB47" s="152">
        <f t="shared" si="48"/>
        <v>0</v>
      </c>
      <c r="CC47" s="158"/>
      <c r="CD47" s="152">
        <f t="shared" si="49"/>
        <v>0</v>
      </c>
      <c r="CE47" s="155">
        <f t="shared" si="50"/>
        <v>19</v>
      </c>
      <c r="CF47" s="152">
        <f t="shared" si="51"/>
        <v>46023.26062500001</v>
      </c>
      <c r="CG47" s="152"/>
      <c r="CH47" s="152">
        <f t="shared" si="52"/>
        <v>15341.086875000003</v>
      </c>
      <c r="CI47" s="152"/>
      <c r="CJ47" s="159">
        <f t="shared" si="53"/>
        <v>21731.670208333337</v>
      </c>
      <c r="CK47" s="152">
        <f t="shared" si="25"/>
        <v>175142.53895833337</v>
      </c>
      <c r="CL47" s="160">
        <f t="shared" si="54"/>
        <v>221165.79958333337</v>
      </c>
    </row>
    <row r="48" spans="1:90" s="161" customFormat="1" x14ac:dyDescent="0.25">
      <c r="A48" s="147"/>
      <c r="B48" s="148"/>
      <c r="C48" s="148" t="s">
        <v>87</v>
      </c>
      <c r="D48" s="149" t="s">
        <v>116</v>
      </c>
      <c r="E48" s="150"/>
      <c r="F48" s="149" t="s">
        <v>95</v>
      </c>
      <c r="G48" s="151">
        <f>5.355*17697</f>
        <v>94767.435000000012</v>
      </c>
      <c r="H48" s="152">
        <f t="shared" si="59"/>
        <v>118459.29375000001</v>
      </c>
      <c r="I48" s="153"/>
      <c r="J48" s="153"/>
      <c r="K48" s="153">
        <v>0</v>
      </c>
      <c r="L48" s="153"/>
      <c r="M48" s="153"/>
      <c r="N48" s="153"/>
      <c r="O48" s="153">
        <v>1</v>
      </c>
      <c r="P48" s="153"/>
      <c r="Q48" s="153"/>
      <c r="R48" s="153"/>
      <c r="S48" s="153"/>
      <c r="T48" s="153"/>
      <c r="U48" s="153"/>
      <c r="V48" s="153"/>
      <c r="W48" s="154">
        <f t="shared" si="72"/>
        <v>1</v>
      </c>
      <c r="X48" s="154">
        <f t="shared" si="72"/>
        <v>0</v>
      </c>
      <c r="Y48" s="153"/>
      <c r="Z48" s="153"/>
      <c r="AA48" s="153"/>
      <c r="AB48" s="153"/>
      <c r="AC48" s="154">
        <f t="shared" si="73"/>
        <v>0</v>
      </c>
      <c r="AD48" s="154">
        <f t="shared" si="73"/>
        <v>0</v>
      </c>
      <c r="AE48" s="152">
        <f t="shared" si="60"/>
        <v>0</v>
      </c>
      <c r="AF48" s="152">
        <f t="shared" si="61"/>
        <v>0</v>
      </c>
      <c r="AG48" s="152">
        <f t="shared" si="62"/>
        <v>0</v>
      </c>
      <c r="AH48" s="152">
        <f t="shared" si="63"/>
        <v>6581.0718750000005</v>
      </c>
      <c r="AI48" s="152">
        <f t="shared" si="64"/>
        <v>0</v>
      </c>
      <c r="AJ48" s="152">
        <f t="shared" si="65"/>
        <v>0</v>
      </c>
      <c r="AK48" s="152">
        <f t="shared" si="66"/>
        <v>0</v>
      </c>
      <c r="AL48" s="152">
        <f t="shared" si="67"/>
        <v>6581.0718750000005</v>
      </c>
      <c r="AM48" s="152">
        <f t="shared" si="68"/>
        <v>0</v>
      </c>
      <c r="AN48" s="152">
        <f t="shared" si="69"/>
        <v>0</v>
      </c>
      <c r="AO48" s="152">
        <f t="shared" si="70"/>
        <v>0</v>
      </c>
      <c r="AP48" s="152">
        <f t="shared" si="71"/>
        <v>6581.0718750000005</v>
      </c>
      <c r="AQ48" s="155"/>
      <c r="AR48" s="152">
        <f t="shared" si="74"/>
        <v>0</v>
      </c>
      <c r="AS48" s="155"/>
      <c r="AT48" s="152">
        <f t="shared" si="75"/>
        <v>0</v>
      </c>
      <c r="AU48" s="155"/>
      <c r="AV48" s="152">
        <f t="shared" si="76"/>
        <v>0</v>
      </c>
      <c r="AW48" s="155"/>
      <c r="AX48" s="152">
        <f t="shared" si="77"/>
        <v>0</v>
      </c>
      <c r="AY48" s="155"/>
      <c r="AZ48" s="152">
        <f t="shared" si="78"/>
        <v>0</v>
      </c>
      <c r="BA48" s="155"/>
      <c r="BB48" s="152">
        <f t="shared" si="79"/>
        <v>0</v>
      </c>
      <c r="BC48" s="155"/>
      <c r="BD48" s="152">
        <f t="shared" si="80"/>
        <v>0</v>
      </c>
      <c r="BE48" s="155"/>
      <c r="BF48" s="152">
        <f t="shared" si="81"/>
        <v>0</v>
      </c>
      <c r="BG48" s="155"/>
      <c r="BH48" s="152">
        <f t="shared" si="82"/>
        <v>0</v>
      </c>
      <c r="BI48" s="155"/>
      <c r="BJ48" s="152">
        <f t="shared" si="83"/>
        <v>0</v>
      </c>
      <c r="BK48" s="155"/>
      <c r="BL48" s="152">
        <f t="shared" si="84"/>
        <v>0</v>
      </c>
      <c r="BM48" s="155"/>
      <c r="BN48" s="152">
        <f t="shared" si="85"/>
        <v>0</v>
      </c>
      <c r="BO48" s="156"/>
      <c r="BP48" s="152">
        <f t="shared" si="45"/>
        <v>0</v>
      </c>
      <c r="BQ48" s="156"/>
      <c r="BR48" s="152">
        <f t="shared" si="46"/>
        <v>0</v>
      </c>
      <c r="BS48" s="155"/>
      <c r="BT48" s="152"/>
      <c r="BU48" s="155"/>
      <c r="BV48" s="152"/>
      <c r="BW48" s="151"/>
      <c r="BX48" s="152"/>
      <c r="BY48" s="157"/>
      <c r="BZ48" s="152">
        <f t="shared" si="47"/>
        <v>0</v>
      </c>
      <c r="CA48" s="157"/>
      <c r="CB48" s="152">
        <f t="shared" si="48"/>
        <v>0</v>
      </c>
      <c r="CC48" s="158"/>
      <c r="CD48" s="152">
        <f t="shared" si="49"/>
        <v>0</v>
      </c>
      <c r="CE48" s="155">
        <f t="shared" si="50"/>
        <v>1</v>
      </c>
      <c r="CF48" s="152">
        <f t="shared" si="51"/>
        <v>1974.3215625</v>
      </c>
      <c r="CG48" s="152"/>
      <c r="CH48" s="152">
        <f t="shared" si="52"/>
        <v>658.10718750000012</v>
      </c>
      <c r="CI48" s="152"/>
      <c r="CJ48" s="159">
        <f t="shared" si="53"/>
        <v>658.10718750000012</v>
      </c>
      <c r="CK48" s="152">
        <f t="shared" si="25"/>
        <v>7239.1790625000003</v>
      </c>
      <c r="CL48" s="160">
        <f t="shared" si="54"/>
        <v>9213.5006250000006</v>
      </c>
    </row>
    <row r="49" spans="1:90" s="161" customFormat="1" x14ac:dyDescent="0.25">
      <c r="A49" s="147">
        <v>16</v>
      </c>
      <c r="B49" s="184" t="s">
        <v>110</v>
      </c>
      <c r="C49" s="177" t="s">
        <v>141</v>
      </c>
      <c r="D49" s="175" t="s">
        <v>82</v>
      </c>
      <c r="E49" s="165">
        <v>23.07</v>
      </c>
      <c r="F49" s="175" t="s">
        <v>92</v>
      </c>
      <c r="G49" s="176">
        <f>7.68*17697</f>
        <v>135912.95999999999</v>
      </c>
      <c r="H49" s="152">
        <f t="shared" si="59"/>
        <v>169891.19999999998</v>
      </c>
      <c r="I49" s="153"/>
      <c r="J49" s="153"/>
      <c r="K49" s="153">
        <v>20</v>
      </c>
      <c r="L49" s="153">
        <v>2</v>
      </c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4">
        <f t="shared" si="72"/>
        <v>0</v>
      </c>
      <c r="X49" s="154">
        <f t="shared" si="72"/>
        <v>0</v>
      </c>
      <c r="Y49" s="153"/>
      <c r="Z49" s="153"/>
      <c r="AA49" s="153"/>
      <c r="AB49" s="153"/>
      <c r="AC49" s="154">
        <f t="shared" si="73"/>
        <v>0</v>
      </c>
      <c r="AD49" s="154">
        <f t="shared" si="73"/>
        <v>0</v>
      </c>
      <c r="AE49" s="152">
        <f t="shared" si="60"/>
        <v>0</v>
      </c>
      <c r="AF49" s="152">
        <f t="shared" si="61"/>
        <v>207644.79999999999</v>
      </c>
      <c r="AG49" s="152">
        <f t="shared" si="62"/>
        <v>0</v>
      </c>
      <c r="AH49" s="152">
        <f t="shared" si="63"/>
        <v>0</v>
      </c>
      <c r="AI49" s="152">
        <f t="shared" si="64"/>
        <v>0</v>
      </c>
      <c r="AJ49" s="152">
        <f t="shared" si="65"/>
        <v>0</v>
      </c>
      <c r="AK49" s="152">
        <f t="shared" si="66"/>
        <v>0</v>
      </c>
      <c r="AL49" s="152">
        <f t="shared" si="67"/>
        <v>0</v>
      </c>
      <c r="AM49" s="152">
        <f t="shared" si="68"/>
        <v>0</v>
      </c>
      <c r="AN49" s="152">
        <f t="shared" si="69"/>
        <v>0</v>
      </c>
      <c r="AO49" s="152">
        <f t="shared" si="70"/>
        <v>0</v>
      </c>
      <c r="AP49" s="152">
        <f t="shared" si="71"/>
        <v>207644.79999999999</v>
      </c>
      <c r="AQ49" s="155"/>
      <c r="AR49" s="152">
        <f t="shared" si="74"/>
        <v>0</v>
      </c>
      <c r="AS49" s="155"/>
      <c r="AT49" s="152">
        <f t="shared" si="75"/>
        <v>0</v>
      </c>
      <c r="AU49" s="155"/>
      <c r="AV49" s="152">
        <f t="shared" si="76"/>
        <v>0</v>
      </c>
      <c r="AW49" s="155">
        <v>9</v>
      </c>
      <c r="AX49" s="152">
        <f t="shared" si="77"/>
        <v>1769.6999999999998</v>
      </c>
      <c r="AY49" s="155"/>
      <c r="AZ49" s="152">
        <f t="shared" si="78"/>
        <v>0</v>
      </c>
      <c r="BA49" s="155"/>
      <c r="BB49" s="152">
        <f t="shared" si="79"/>
        <v>0</v>
      </c>
      <c r="BC49" s="155"/>
      <c r="BD49" s="152">
        <f t="shared" si="80"/>
        <v>0</v>
      </c>
      <c r="BE49" s="155"/>
      <c r="BF49" s="152">
        <f t="shared" si="81"/>
        <v>0</v>
      </c>
      <c r="BG49" s="155"/>
      <c r="BH49" s="152">
        <f t="shared" si="82"/>
        <v>0</v>
      </c>
      <c r="BI49" s="155"/>
      <c r="BJ49" s="152">
        <f t="shared" si="83"/>
        <v>0</v>
      </c>
      <c r="BK49" s="155"/>
      <c r="BL49" s="152">
        <f t="shared" si="84"/>
        <v>0</v>
      </c>
      <c r="BM49" s="155"/>
      <c r="BN49" s="152">
        <f t="shared" si="85"/>
        <v>0</v>
      </c>
      <c r="BO49" s="156"/>
      <c r="BP49" s="152">
        <f t="shared" si="45"/>
        <v>0</v>
      </c>
      <c r="BQ49" s="156">
        <v>0.5</v>
      </c>
      <c r="BR49" s="152">
        <f t="shared" si="46"/>
        <v>4424.25</v>
      </c>
      <c r="BS49" s="155"/>
      <c r="BT49" s="152">
        <f t="shared" si="55"/>
        <v>0</v>
      </c>
      <c r="BU49" s="155"/>
      <c r="BV49" s="152">
        <f t="shared" si="56"/>
        <v>0</v>
      </c>
      <c r="BW49" s="151"/>
      <c r="BX49" s="152">
        <f t="shared" si="57"/>
        <v>0</v>
      </c>
      <c r="BY49" s="157"/>
      <c r="BZ49" s="152">
        <f t="shared" si="47"/>
        <v>0</v>
      </c>
      <c r="CA49" s="157"/>
      <c r="CB49" s="152">
        <f t="shared" si="48"/>
        <v>0</v>
      </c>
      <c r="CC49" s="158">
        <v>22</v>
      </c>
      <c r="CD49" s="152">
        <f t="shared" si="49"/>
        <v>83057.919999999998</v>
      </c>
      <c r="CE49" s="155">
        <f t="shared" si="50"/>
        <v>22</v>
      </c>
      <c r="CF49" s="152">
        <f t="shared" si="51"/>
        <v>62293.439999999988</v>
      </c>
      <c r="CG49" s="152"/>
      <c r="CH49" s="152">
        <f t="shared" si="52"/>
        <v>20764.48</v>
      </c>
      <c r="CI49" s="152"/>
      <c r="CJ49" s="159">
        <f t="shared" si="53"/>
        <v>26958.43</v>
      </c>
      <c r="CK49" s="152">
        <f t="shared" si="25"/>
        <v>234603.22999999998</v>
      </c>
      <c r="CL49" s="160">
        <f t="shared" si="54"/>
        <v>379954.58999999997</v>
      </c>
    </row>
    <row r="50" spans="1:90" s="161" customFormat="1" x14ac:dyDescent="0.25">
      <c r="A50" s="171"/>
      <c r="B50" s="184" t="s">
        <v>110</v>
      </c>
      <c r="C50" s="163" t="s">
        <v>83</v>
      </c>
      <c r="D50" s="164"/>
      <c r="E50" s="170"/>
      <c r="F50" s="164" t="s">
        <v>93</v>
      </c>
      <c r="G50" s="166">
        <f>7.005*17697</f>
        <v>123967.485</v>
      </c>
      <c r="H50" s="152">
        <f t="shared" si="59"/>
        <v>154959.35625000001</v>
      </c>
      <c r="I50" s="167"/>
      <c r="J50" s="167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>
        <v>5</v>
      </c>
      <c r="V50" s="153"/>
      <c r="W50" s="154">
        <f t="shared" si="72"/>
        <v>5</v>
      </c>
      <c r="X50" s="154">
        <f t="shared" si="72"/>
        <v>0</v>
      </c>
      <c r="Y50" s="153"/>
      <c r="Z50" s="153"/>
      <c r="AA50" s="153"/>
      <c r="AB50" s="153"/>
      <c r="AC50" s="154">
        <f t="shared" si="73"/>
        <v>0</v>
      </c>
      <c r="AD50" s="154">
        <f t="shared" si="73"/>
        <v>0</v>
      </c>
      <c r="AE50" s="152">
        <f t="shared" si="60"/>
        <v>0</v>
      </c>
      <c r="AF50" s="152">
        <f t="shared" si="61"/>
        <v>0</v>
      </c>
      <c r="AG50" s="152">
        <f t="shared" si="62"/>
        <v>0</v>
      </c>
      <c r="AH50" s="152">
        <f t="shared" si="63"/>
        <v>0</v>
      </c>
      <c r="AI50" s="152">
        <f t="shared" si="64"/>
        <v>0</v>
      </c>
      <c r="AJ50" s="152">
        <f t="shared" si="65"/>
        <v>0</v>
      </c>
      <c r="AK50" s="152">
        <f t="shared" si="66"/>
        <v>43044.265625000007</v>
      </c>
      <c r="AL50" s="152">
        <f t="shared" si="67"/>
        <v>43044.265625000007</v>
      </c>
      <c r="AM50" s="152">
        <f t="shared" si="68"/>
        <v>0</v>
      </c>
      <c r="AN50" s="152">
        <f t="shared" si="69"/>
        <v>0</v>
      </c>
      <c r="AO50" s="152">
        <f t="shared" si="70"/>
        <v>0</v>
      </c>
      <c r="AP50" s="152">
        <f t="shared" si="71"/>
        <v>43044.265625000007</v>
      </c>
      <c r="AQ50" s="155"/>
      <c r="AR50" s="152">
        <f t="shared" si="74"/>
        <v>0</v>
      </c>
      <c r="AS50" s="155"/>
      <c r="AT50" s="152">
        <f t="shared" si="75"/>
        <v>0</v>
      </c>
      <c r="AU50" s="155"/>
      <c r="AV50" s="152">
        <f t="shared" si="76"/>
        <v>0</v>
      </c>
      <c r="AW50" s="155"/>
      <c r="AX50" s="152">
        <f t="shared" si="77"/>
        <v>0</v>
      </c>
      <c r="AY50" s="155"/>
      <c r="AZ50" s="152">
        <f t="shared" si="78"/>
        <v>0</v>
      </c>
      <c r="BA50" s="155"/>
      <c r="BB50" s="152">
        <f t="shared" si="79"/>
        <v>0</v>
      </c>
      <c r="BC50" s="155"/>
      <c r="BD50" s="152">
        <f t="shared" si="80"/>
        <v>0</v>
      </c>
      <c r="BE50" s="155">
        <v>5</v>
      </c>
      <c r="BF50" s="152">
        <f t="shared" si="81"/>
        <v>983.16666666666663</v>
      </c>
      <c r="BG50" s="155"/>
      <c r="BH50" s="152">
        <f t="shared" si="82"/>
        <v>0</v>
      </c>
      <c r="BI50" s="155"/>
      <c r="BJ50" s="152">
        <f t="shared" si="83"/>
        <v>0</v>
      </c>
      <c r="BK50" s="155"/>
      <c r="BL50" s="152">
        <f t="shared" si="84"/>
        <v>0</v>
      </c>
      <c r="BM50" s="155"/>
      <c r="BN50" s="152">
        <f t="shared" si="85"/>
        <v>0</v>
      </c>
      <c r="BO50" s="156"/>
      <c r="BP50" s="152">
        <f t="shared" si="45"/>
        <v>0</v>
      </c>
      <c r="BQ50" s="156"/>
      <c r="BR50" s="152">
        <f t="shared" si="46"/>
        <v>0</v>
      </c>
      <c r="BS50" s="155"/>
      <c r="BT50" s="152"/>
      <c r="BU50" s="155"/>
      <c r="BV50" s="152"/>
      <c r="BW50" s="151"/>
      <c r="BX50" s="152"/>
      <c r="BY50" s="157"/>
      <c r="BZ50" s="152">
        <f t="shared" si="47"/>
        <v>0</v>
      </c>
      <c r="CA50" s="157"/>
      <c r="CB50" s="152">
        <f t="shared" si="48"/>
        <v>0</v>
      </c>
      <c r="CC50" s="158"/>
      <c r="CD50" s="152">
        <f t="shared" si="49"/>
        <v>0</v>
      </c>
      <c r="CE50" s="155">
        <f t="shared" si="50"/>
        <v>5</v>
      </c>
      <c r="CF50" s="152">
        <f t="shared" si="51"/>
        <v>12913.2796875</v>
      </c>
      <c r="CG50" s="152"/>
      <c r="CH50" s="152">
        <f t="shared" si="52"/>
        <v>4304.4265625000007</v>
      </c>
      <c r="CI50" s="152"/>
      <c r="CJ50" s="159">
        <f t="shared" si="53"/>
        <v>5287.5932291666677</v>
      </c>
      <c r="CK50" s="152">
        <f t="shared" si="25"/>
        <v>48331.858854166676</v>
      </c>
      <c r="CL50" s="160">
        <f t="shared" si="54"/>
        <v>61245.138541666674</v>
      </c>
    </row>
    <row r="51" spans="1:90" s="161" customFormat="1" x14ac:dyDescent="0.25">
      <c r="A51" s="171">
        <v>17</v>
      </c>
      <c r="B51" s="177" t="s">
        <v>129</v>
      </c>
      <c r="C51" s="177" t="s">
        <v>47</v>
      </c>
      <c r="D51" s="175" t="s">
        <v>116</v>
      </c>
      <c r="E51" s="165">
        <v>11.06</v>
      </c>
      <c r="F51" s="175" t="s">
        <v>97</v>
      </c>
      <c r="G51" s="176">
        <f>6.045*17697</f>
        <v>106978.36500000001</v>
      </c>
      <c r="H51" s="152">
        <f t="shared" si="59"/>
        <v>133722.95625000002</v>
      </c>
      <c r="I51" s="167">
        <v>18</v>
      </c>
      <c r="J51" s="167">
        <v>4</v>
      </c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4">
        <f t="shared" si="72"/>
        <v>0</v>
      </c>
      <c r="X51" s="154">
        <f t="shared" si="72"/>
        <v>0</v>
      </c>
      <c r="Y51" s="153"/>
      <c r="Z51" s="153"/>
      <c r="AA51" s="153"/>
      <c r="AB51" s="153"/>
      <c r="AC51" s="154">
        <f t="shared" si="73"/>
        <v>0</v>
      </c>
      <c r="AD51" s="154">
        <f t="shared" si="73"/>
        <v>0</v>
      </c>
      <c r="AE51" s="152">
        <f>H51/24*(I51+J51)</f>
        <v>122579.37656250002</v>
      </c>
      <c r="AF51" s="152">
        <f t="shared" ref="AF51:AF62" si="86">H51/18*(K51+L51)</f>
        <v>0</v>
      </c>
      <c r="AG51" s="152">
        <f t="shared" ref="AG51:AG62" si="87">H51/18*(M51+N51)</f>
        <v>0</v>
      </c>
      <c r="AH51" s="152">
        <f t="shared" ref="AH51:AH62" si="88">H51/18*(O51+P51)</f>
        <v>0</v>
      </c>
      <c r="AI51" s="152">
        <f t="shared" ref="AI51:AI62" si="89">H51/18*(Q51+R51)</f>
        <v>0</v>
      </c>
      <c r="AJ51" s="152">
        <f t="shared" ref="AJ51:AJ62" si="90">H51/18*(S51+T51)</f>
        <v>0</v>
      </c>
      <c r="AK51" s="152">
        <f t="shared" ref="AK51:AK62" si="91">H51/18*(U51+V51)</f>
        <v>0</v>
      </c>
      <c r="AL51" s="152">
        <f t="shared" ref="AL51:AL62" si="92">SUM(AG51:AK51)</f>
        <v>0</v>
      </c>
      <c r="AM51" s="152">
        <f t="shared" ref="AM51:AM62" si="93">H51/18*(Y51+Z51)</f>
        <v>0</v>
      </c>
      <c r="AN51" s="152">
        <f t="shared" ref="AN51:AN62" si="94">H51/18*(AA51+AB51)</f>
        <v>0</v>
      </c>
      <c r="AO51" s="152">
        <f t="shared" ref="AO51:AO62" si="95">AM51+AN51</f>
        <v>0</v>
      </c>
      <c r="AP51" s="152">
        <f t="shared" ref="AP51:AP62" si="96">AE51+AF51+AL51+AO51</f>
        <v>122579.37656250002</v>
      </c>
      <c r="AQ51" s="155"/>
      <c r="AR51" s="152">
        <f t="shared" si="74"/>
        <v>0</v>
      </c>
      <c r="AS51" s="155"/>
      <c r="AT51" s="152">
        <f t="shared" si="75"/>
        <v>0</v>
      </c>
      <c r="AU51" s="155"/>
      <c r="AV51" s="152">
        <f t="shared" si="76"/>
        <v>0</v>
      </c>
      <c r="AW51" s="155"/>
      <c r="AX51" s="152">
        <f t="shared" si="77"/>
        <v>0</v>
      </c>
      <c r="AY51" s="155"/>
      <c r="AZ51" s="152">
        <f t="shared" si="78"/>
        <v>0</v>
      </c>
      <c r="BA51" s="155"/>
      <c r="BB51" s="152">
        <f t="shared" si="79"/>
        <v>0</v>
      </c>
      <c r="BC51" s="155"/>
      <c r="BD51" s="152">
        <f t="shared" si="80"/>
        <v>0</v>
      </c>
      <c r="BE51" s="155"/>
      <c r="BF51" s="152">
        <f t="shared" si="81"/>
        <v>0</v>
      </c>
      <c r="BG51" s="155"/>
      <c r="BH51" s="152">
        <f t="shared" si="82"/>
        <v>0</v>
      </c>
      <c r="BI51" s="155"/>
      <c r="BJ51" s="152">
        <f t="shared" si="83"/>
        <v>0</v>
      </c>
      <c r="BK51" s="155"/>
      <c r="BL51" s="152">
        <f t="shared" si="84"/>
        <v>0</v>
      </c>
      <c r="BM51" s="155"/>
      <c r="BN51" s="152">
        <f t="shared" si="85"/>
        <v>0</v>
      </c>
      <c r="BO51" s="156"/>
      <c r="BP51" s="152">
        <f t="shared" si="45"/>
        <v>0</v>
      </c>
      <c r="BQ51" s="156"/>
      <c r="BR51" s="152">
        <f t="shared" si="46"/>
        <v>0</v>
      </c>
      <c r="BS51" s="155"/>
      <c r="BT51" s="152">
        <f t="shared" si="55"/>
        <v>0</v>
      </c>
      <c r="BU51" s="155"/>
      <c r="BV51" s="152">
        <f t="shared" si="56"/>
        <v>0</v>
      </c>
      <c r="BW51" s="151"/>
      <c r="BX51" s="152">
        <f t="shared" si="57"/>
        <v>0</v>
      </c>
      <c r="BY51" s="157">
        <v>22</v>
      </c>
      <c r="BZ51" s="152">
        <f>H51*0.3/24*22</f>
        <v>36773.812968750004</v>
      </c>
      <c r="CA51" s="157"/>
      <c r="CB51" s="152">
        <f t="shared" si="48"/>
        <v>0</v>
      </c>
      <c r="CC51" s="158"/>
      <c r="CD51" s="152">
        <f t="shared" si="49"/>
        <v>0</v>
      </c>
      <c r="CE51" s="155"/>
      <c r="CF51" s="152">
        <f t="shared" si="51"/>
        <v>0</v>
      </c>
      <c r="CG51" s="152"/>
      <c r="CH51" s="152">
        <f t="shared" si="52"/>
        <v>12257.937656250004</v>
      </c>
      <c r="CI51" s="152"/>
      <c r="CJ51" s="159">
        <f t="shared" si="53"/>
        <v>12257.937656250004</v>
      </c>
      <c r="CK51" s="152">
        <f t="shared" si="25"/>
        <v>134837.31421875002</v>
      </c>
      <c r="CL51" s="160">
        <f t="shared" si="54"/>
        <v>171611.12718750001</v>
      </c>
    </row>
    <row r="52" spans="1:90" s="161" customFormat="1" x14ac:dyDescent="0.25">
      <c r="A52" s="178"/>
      <c r="B52" s="177" t="s">
        <v>129</v>
      </c>
      <c r="C52" s="177" t="s">
        <v>154</v>
      </c>
      <c r="D52" s="175" t="s">
        <v>116</v>
      </c>
      <c r="E52" s="165">
        <v>11.06</v>
      </c>
      <c r="F52" s="175" t="s">
        <v>95</v>
      </c>
      <c r="G52" s="176">
        <f>5.355*17697</f>
        <v>94767.435000000012</v>
      </c>
      <c r="H52" s="152">
        <f t="shared" ref="H52" si="97">G52*1.25</f>
        <v>118459.29375000001</v>
      </c>
      <c r="I52" s="167"/>
      <c r="J52" s="167"/>
      <c r="K52" s="153">
        <v>1</v>
      </c>
      <c r="L52" s="153"/>
      <c r="M52" s="153"/>
      <c r="N52" s="153"/>
      <c r="O52" s="153"/>
      <c r="P52" s="153"/>
      <c r="Q52" s="153">
        <v>1</v>
      </c>
      <c r="R52" s="153"/>
      <c r="S52" s="153"/>
      <c r="T52" s="153"/>
      <c r="U52" s="153">
        <v>0.5</v>
      </c>
      <c r="V52" s="153"/>
      <c r="W52" s="154">
        <f t="shared" ref="W52" si="98">M52+O52+Q52+S52+U52</f>
        <v>1.5</v>
      </c>
      <c r="X52" s="154">
        <f t="shared" ref="X52" si="99">N52+P52+R52+T52+V52</f>
        <v>0</v>
      </c>
      <c r="Y52" s="153"/>
      <c r="Z52" s="153"/>
      <c r="AA52" s="153"/>
      <c r="AB52" s="153"/>
      <c r="AC52" s="154">
        <f t="shared" ref="AC52" si="100">Y52+AA52</f>
        <v>0</v>
      </c>
      <c r="AD52" s="154">
        <f t="shared" ref="AD52" si="101">Z52+AB52</f>
        <v>0</v>
      </c>
      <c r="AE52" s="152">
        <f>H52/24*(I52+J52)</f>
        <v>0</v>
      </c>
      <c r="AF52" s="152">
        <f t="shared" ref="AF52" si="102">H52/18*(K52+L52)</f>
        <v>6581.0718750000005</v>
      </c>
      <c r="AG52" s="152">
        <f t="shared" ref="AG52" si="103">H52/18*(M52+N52)</f>
        <v>0</v>
      </c>
      <c r="AH52" s="152">
        <f t="shared" ref="AH52" si="104">H52/18*(O52+P52)</f>
        <v>0</v>
      </c>
      <c r="AI52" s="152">
        <f t="shared" ref="AI52" si="105">H52/18*(Q52+R52)</f>
        <v>6581.0718750000005</v>
      </c>
      <c r="AJ52" s="152">
        <f t="shared" ref="AJ52" si="106">H52/18*(S52+T52)</f>
        <v>0</v>
      </c>
      <c r="AK52" s="152">
        <f t="shared" ref="AK52" si="107">H52/18*(U52+V52)</f>
        <v>3290.5359375000003</v>
      </c>
      <c r="AL52" s="152">
        <f t="shared" ref="AL52" si="108">SUM(AG52:AK52)</f>
        <v>9871.6078125000004</v>
      </c>
      <c r="AM52" s="152">
        <f t="shared" ref="AM52" si="109">H52/18*(Y52+Z52)</f>
        <v>0</v>
      </c>
      <c r="AN52" s="152">
        <f t="shared" ref="AN52" si="110">H52/18*(AA52+AB52)</f>
        <v>0</v>
      </c>
      <c r="AO52" s="152">
        <f t="shared" ref="AO52" si="111">AM52+AN52</f>
        <v>0</v>
      </c>
      <c r="AP52" s="152">
        <f t="shared" ref="AP52" si="112">AE52+AF52+AL52+AO52</f>
        <v>16452.6796875</v>
      </c>
      <c r="AQ52" s="155"/>
      <c r="AR52" s="152">
        <f t="shared" ref="AR52" si="113">(17697*50/100)/18*AQ52</f>
        <v>0</v>
      </c>
      <c r="AS52" s="155"/>
      <c r="AT52" s="152">
        <f t="shared" ref="AT52" si="114">(17697*25/100)/18*AS52</f>
        <v>0</v>
      </c>
      <c r="AU52" s="155"/>
      <c r="AV52" s="152">
        <f t="shared" ref="AV52" si="115">(17697*40/100)/18*AU52</f>
        <v>0</v>
      </c>
      <c r="AW52" s="155"/>
      <c r="AX52" s="152">
        <f t="shared" ref="AX52" si="116">(17697*20/100)/18*AW52</f>
        <v>0</v>
      </c>
      <c r="AY52" s="155"/>
      <c r="AZ52" s="152">
        <f t="shared" ref="AZ52" si="117">(17697*50/100)/18*AY52</f>
        <v>0</v>
      </c>
      <c r="BA52" s="155"/>
      <c r="BB52" s="152">
        <f t="shared" ref="BB52" si="118">(17697*25/100)/18*BA52</f>
        <v>0</v>
      </c>
      <c r="BC52" s="155"/>
      <c r="BD52" s="152">
        <f t="shared" ref="BD52" si="119">(17697*40/100)/18*BC52</f>
        <v>0</v>
      </c>
      <c r="BE52" s="155"/>
      <c r="BF52" s="152">
        <f t="shared" ref="BF52" si="120">(17697*20/100)/18*BE52</f>
        <v>0</v>
      </c>
      <c r="BG52" s="155"/>
      <c r="BH52" s="152">
        <f t="shared" ref="BH52" si="121">(17697*50/100)/18*BG52</f>
        <v>0</v>
      </c>
      <c r="BI52" s="155"/>
      <c r="BJ52" s="152">
        <f t="shared" ref="BJ52" si="122">(17697*25/100)/18*BI52</f>
        <v>0</v>
      </c>
      <c r="BK52" s="155"/>
      <c r="BL52" s="152">
        <f t="shared" ref="BL52" si="123">(17697*40/100)/18*BK52</f>
        <v>0</v>
      </c>
      <c r="BM52" s="155"/>
      <c r="BN52" s="152">
        <f t="shared" ref="BN52" si="124">(17697*20/100)/18*BM52</f>
        <v>0</v>
      </c>
      <c r="BO52" s="156"/>
      <c r="BP52" s="152">
        <f t="shared" ref="BP52" si="125">(17697*60/100)*BO52</f>
        <v>0</v>
      </c>
      <c r="BQ52" s="156"/>
      <c r="BR52" s="152">
        <f t="shared" ref="BR52" si="126">(17697*50/100)*BQ52</f>
        <v>0</v>
      </c>
      <c r="BS52" s="155"/>
      <c r="BT52" s="152">
        <f t="shared" ref="BT52" si="127">(17697*25/100)/20*BS52</f>
        <v>0</v>
      </c>
      <c r="BU52" s="155"/>
      <c r="BV52" s="152">
        <f t="shared" ref="BV52" si="128">(17697*25/100)/18*BU52</f>
        <v>0</v>
      </c>
      <c r="BW52" s="151"/>
      <c r="BX52" s="152">
        <f t="shared" ref="BX52" si="129">(17697*20/100)*BW52</f>
        <v>0</v>
      </c>
      <c r="BY52" s="157"/>
      <c r="BZ52" s="152"/>
      <c r="CA52" s="157"/>
      <c r="CB52" s="152">
        <f t="shared" ref="CB52" si="130">H52*0.35/18*CA52</f>
        <v>0</v>
      </c>
      <c r="CC52" s="158"/>
      <c r="CD52" s="152">
        <f t="shared" ref="CD52" si="131">H52*0.4/18*CC52</f>
        <v>0</v>
      </c>
      <c r="CE52" s="155">
        <f t="shared" ref="CE52" si="132">K52+L52+W52+X52+AC52+AD52</f>
        <v>2.5</v>
      </c>
      <c r="CF52" s="152">
        <f t="shared" ref="CF52" si="133">H52*0.3/18*CE52</f>
        <v>4935.8039062500002</v>
      </c>
      <c r="CG52" s="152"/>
      <c r="CH52" s="152">
        <f t="shared" ref="CH52" si="134">AP52*0.1</f>
        <v>1645.2679687500001</v>
      </c>
      <c r="CI52" s="152"/>
      <c r="CJ52" s="159">
        <f t="shared" ref="CJ52" si="135">AR52+AT52+AV52+AX52+AZ52+BB52+BD52+BF52+BH52+BJ52+BL52+BN52+BP52+BR52+BT52+BV52+BX52+CG52+CH52</f>
        <v>1645.2679687500001</v>
      </c>
      <c r="CK52" s="152">
        <f t="shared" ref="CK52" si="136">AP52+CJ52</f>
        <v>18097.947656249999</v>
      </c>
      <c r="CL52" s="160">
        <f t="shared" ref="CL52" si="137">CK52++CF52+CD52+CB52+BZ52+CI52</f>
        <v>23033.751562499998</v>
      </c>
    </row>
    <row r="53" spans="1:90" s="161" customFormat="1" x14ac:dyDescent="0.25">
      <c r="A53" s="185">
        <v>20</v>
      </c>
      <c r="B53" s="164" t="s">
        <v>111</v>
      </c>
      <c r="C53" s="163" t="s">
        <v>118</v>
      </c>
      <c r="D53" s="164" t="s">
        <v>116</v>
      </c>
      <c r="E53" s="170">
        <v>4.04</v>
      </c>
      <c r="F53" s="164" t="s">
        <v>95</v>
      </c>
      <c r="G53" s="166">
        <f>5.175*17697</f>
        <v>91581.974999999991</v>
      </c>
      <c r="H53" s="152">
        <f t="shared" si="59"/>
        <v>114477.46874999999</v>
      </c>
      <c r="I53" s="167"/>
      <c r="J53" s="167"/>
      <c r="K53" s="153">
        <v>3</v>
      </c>
      <c r="L53" s="153"/>
      <c r="M53" s="153"/>
      <c r="N53" s="153"/>
      <c r="O53" s="153">
        <v>3</v>
      </c>
      <c r="P53" s="153"/>
      <c r="Q53" s="153">
        <v>3</v>
      </c>
      <c r="R53" s="153"/>
      <c r="S53" s="153"/>
      <c r="T53" s="153"/>
      <c r="U53" s="153">
        <v>3</v>
      </c>
      <c r="V53" s="153"/>
      <c r="W53" s="154">
        <f t="shared" si="72"/>
        <v>9</v>
      </c>
      <c r="X53" s="154">
        <f t="shared" si="72"/>
        <v>0</v>
      </c>
      <c r="Y53" s="153"/>
      <c r="Z53" s="153"/>
      <c r="AA53" s="153">
        <v>3</v>
      </c>
      <c r="AB53" s="153"/>
      <c r="AC53" s="154">
        <f t="shared" si="73"/>
        <v>3</v>
      </c>
      <c r="AD53" s="154">
        <f t="shared" si="73"/>
        <v>0</v>
      </c>
      <c r="AE53" s="152">
        <f t="shared" ref="AE53:AE62" si="138">H53/24*I53</f>
        <v>0</v>
      </c>
      <c r="AF53" s="152">
        <f t="shared" si="86"/>
        <v>19079.578124999996</v>
      </c>
      <c r="AG53" s="152">
        <f t="shared" si="87"/>
        <v>0</v>
      </c>
      <c r="AH53" s="152">
        <f t="shared" si="88"/>
        <v>19079.578124999996</v>
      </c>
      <c r="AI53" s="152">
        <f t="shared" si="89"/>
        <v>19079.578124999996</v>
      </c>
      <c r="AJ53" s="152">
        <f t="shared" si="90"/>
        <v>0</v>
      </c>
      <c r="AK53" s="152">
        <f t="shared" si="91"/>
        <v>19079.578124999996</v>
      </c>
      <c r="AL53" s="152">
        <f t="shared" si="92"/>
        <v>57238.734374999985</v>
      </c>
      <c r="AM53" s="152">
        <f t="shared" si="93"/>
        <v>0</v>
      </c>
      <c r="AN53" s="152">
        <f t="shared" si="94"/>
        <v>19079.578124999996</v>
      </c>
      <c r="AO53" s="152">
        <f t="shared" si="95"/>
        <v>19079.578124999996</v>
      </c>
      <c r="AP53" s="152">
        <f t="shared" si="96"/>
        <v>95397.890624999985</v>
      </c>
      <c r="AQ53" s="155"/>
      <c r="AR53" s="152">
        <f t="shared" si="74"/>
        <v>0</v>
      </c>
      <c r="AS53" s="155"/>
      <c r="AT53" s="152">
        <f t="shared" si="75"/>
        <v>0</v>
      </c>
      <c r="AU53" s="155"/>
      <c r="AV53" s="152">
        <f t="shared" si="76"/>
        <v>0</v>
      </c>
      <c r="AW53" s="155"/>
      <c r="AX53" s="152">
        <f t="shared" si="77"/>
        <v>0</v>
      </c>
      <c r="AY53" s="155"/>
      <c r="AZ53" s="152">
        <f t="shared" si="78"/>
        <v>0</v>
      </c>
      <c r="BA53" s="155"/>
      <c r="BB53" s="152">
        <f t="shared" si="79"/>
        <v>0</v>
      </c>
      <c r="BC53" s="155"/>
      <c r="BD53" s="152">
        <f t="shared" si="80"/>
        <v>0</v>
      </c>
      <c r="BE53" s="155"/>
      <c r="BF53" s="152">
        <f t="shared" si="81"/>
        <v>0</v>
      </c>
      <c r="BG53" s="155"/>
      <c r="BH53" s="152">
        <f t="shared" si="82"/>
        <v>0</v>
      </c>
      <c r="BI53" s="155"/>
      <c r="BJ53" s="152">
        <f t="shared" si="83"/>
        <v>0</v>
      </c>
      <c r="BK53" s="155"/>
      <c r="BL53" s="152">
        <f t="shared" si="84"/>
        <v>0</v>
      </c>
      <c r="BM53" s="155"/>
      <c r="BN53" s="152">
        <f t="shared" si="85"/>
        <v>0</v>
      </c>
      <c r="BO53" s="156">
        <v>0.5</v>
      </c>
      <c r="BP53" s="152">
        <f t="shared" si="45"/>
        <v>5309.1</v>
      </c>
      <c r="BQ53" s="156"/>
      <c r="BR53" s="152">
        <f t="shared" si="46"/>
        <v>0</v>
      </c>
      <c r="BS53" s="155"/>
      <c r="BT53" s="152">
        <f t="shared" si="55"/>
        <v>0</v>
      </c>
      <c r="BU53" s="155"/>
      <c r="BV53" s="152">
        <f t="shared" si="56"/>
        <v>0</v>
      </c>
      <c r="BW53" s="151"/>
      <c r="BX53" s="152">
        <f t="shared" si="57"/>
        <v>0</v>
      </c>
      <c r="BY53" s="157"/>
      <c r="BZ53" s="152">
        <f t="shared" si="47"/>
        <v>0</v>
      </c>
      <c r="CA53" s="157"/>
      <c r="CB53" s="152">
        <f t="shared" si="48"/>
        <v>0</v>
      </c>
      <c r="CC53" s="158"/>
      <c r="CD53" s="152">
        <f t="shared" si="49"/>
        <v>0</v>
      </c>
      <c r="CE53" s="155">
        <f t="shared" si="50"/>
        <v>15</v>
      </c>
      <c r="CF53" s="152">
        <f t="shared" si="51"/>
        <v>28619.367187499993</v>
      </c>
      <c r="CG53" s="152"/>
      <c r="CH53" s="152">
        <f t="shared" si="52"/>
        <v>9539.7890624999982</v>
      </c>
      <c r="CI53" s="152"/>
      <c r="CJ53" s="159">
        <f t="shared" si="53"/>
        <v>14848.889062499999</v>
      </c>
      <c r="CK53" s="152">
        <f t="shared" si="25"/>
        <v>110246.77968749998</v>
      </c>
      <c r="CL53" s="160">
        <f t="shared" si="54"/>
        <v>138866.14687499998</v>
      </c>
    </row>
    <row r="54" spans="1:90" s="161" customFormat="1" x14ac:dyDescent="0.25">
      <c r="A54" s="185"/>
      <c r="B54" s="163"/>
      <c r="C54" s="163" t="s">
        <v>117</v>
      </c>
      <c r="D54" s="164" t="s">
        <v>116</v>
      </c>
      <c r="E54" s="170"/>
      <c r="F54" s="164"/>
      <c r="G54" s="166">
        <f>5.175*17697</f>
        <v>91581.974999999991</v>
      </c>
      <c r="H54" s="152">
        <f t="shared" si="59"/>
        <v>114477.46874999999</v>
      </c>
      <c r="I54" s="167"/>
      <c r="J54" s="167"/>
      <c r="K54" s="153"/>
      <c r="L54" s="153"/>
      <c r="M54" s="153"/>
      <c r="N54" s="153"/>
      <c r="O54" s="153">
        <v>2</v>
      </c>
      <c r="P54" s="153"/>
      <c r="Q54" s="153"/>
      <c r="R54" s="153"/>
      <c r="S54" s="153"/>
      <c r="T54" s="153"/>
      <c r="U54" s="153">
        <v>0.5</v>
      </c>
      <c r="V54" s="153"/>
      <c r="W54" s="154">
        <f t="shared" si="72"/>
        <v>2.5</v>
      </c>
      <c r="X54" s="154">
        <f t="shared" si="72"/>
        <v>0</v>
      </c>
      <c r="Y54" s="153"/>
      <c r="Z54" s="153"/>
      <c r="AA54" s="153"/>
      <c r="AB54" s="153"/>
      <c r="AC54" s="154">
        <f t="shared" si="73"/>
        <v>0</v>
      </c>
      <c r="AD54" s="154">
        <f t="shared" si="73"/>
        <v>0</v>
      </c>
      <c r="AE54" s="152">
        <f t="shared" si="138"/>
        <v>0</v>
      </c>
      <c r="AF54" s="152">
        <f t="shared" si="86"/>
        <v>0</v>
      </c>
      <c r="AG54" s="152">
        <f t="shared" si="87"/>
        <v>0</v>
      </c>
      <c r="AH54" s="152">
        <f t="shared" si="88"/>
        <v>12719.718749999998</v>
      </c>
      <c r="AI54" s="152">
        <f t="shared" si="89"/>
        <v>0</v>
      </c>
      <c r="AJ54" s="152">
        <f t="shared" si="90"/>
        <v>0</v>
      </c>
      <c r="AK54" s="152">
        <f t="shared" si="91"/>
        <v>3179.9296874999995</v>
      </c>
      <c r="AL54" s="152">
        <f t="shared" si="92"/>
        <v>15899.648437499998</v>
      </c>
      <c r="AM54" s="152">
        <f t="shared" si="93"/>
        <v>0</v>
      </c>
      <c r="AN54" s="152">
        <f t="shared" si="94"/>
        <v>0</v>
      </c>
      <c r="AO54" s="152">
        <f t="shared" si="95"/>
        <v>0</v>
      </c>
      <c r="AP54" s="152">
        <f t="shared" si="96"/>
        <v>15899.648437499998</v>
      </c>
      <c r="AQ54" s="155"/>
      <c r="AR54" s="152">
        <f t="shared" si="74"/>
        <v>0</v>
      </c>
      <c r="AS54" s="155"/>
      <c r="AT54" s="152">
        <f t="shared" si="75"/>
        <v>0</v>
      </c>
      <c r="AU54" s="155"/>
      <c r="AV54" s="152">
        <f t="shared" si="76"/>
        <v>0</v>
      </c>
      <c r="AW54" s="155"/>
      <c r="AX54" s="152">
        <f t="shared" si="77"/>
        <v>0</v>
      </c>
      <c r="AY54" s="155"/>
      <c r="AZ54" s="152">
        <f t="shared" si="78"/>
        <v>0</v>
      </c>
      <c r="BA54" s="155"/>
      <c r="BB54" s="152">
        <f t="shared" si="79"/>
        <v>0</v>
      </c>
      <c r="BC54" s="155"/>
      <c r="BD54" s="152">
        <f t="shared" si="80"/>
        <v>0</v>
      </c>
      <c r="BE54" s="155"/>
      <c r="BF54" s="152">
        <f t="shared" si="81"/>
        <v>0</v>
      </c>
      <c r="BG54" s="155"/>
      <c r="BH54" s="152">
        <f t="shared" si="82"/>
        <v>0</v>
      </c>
      <c r="BI54" s="155"/>
      <c r="BJ54" s="152">
        <f t="shared" si="83"/>
        <v>0</v>
      </c>
      <c r="BK54" s="155"/>
      <c r="BL54" s="152">
        <f t="shared" si="84"/>
        <v>0</v>
      </c>
      <c r="BM54" s="155"/>
      <c r="BN54" s="152">
        <f t="shared" si="85"/>
        <v>0</v>
      </c>
      <c r="BO54" s="156"/>
      <c r="BP54" s="152">
        <f t="shared" si="45"/>
        <v>0</v>
      </c>
      <c r="BQ54" s="156"/>
      <c r="BR54" s="152">
        <f t="shared" si="46"/>
        <v>0</v>
      </c>
      <c r="BS54" s="155"/>
      <c r="BT54" s="152"/>
      <c r="BU54" s="155"/>
      <c r="BV54" s="152"/>
      <c r="BW54" s="151"/>
      <c r="BX54" s="152"/>
      <c r="BY54" s="157"/>
      <c r="BZ54" s="152">
        <f t="shared" si="47"/>
        <v>0</v>
      </c>
      <c r="CA54" s="157"/>
      <c r="CB54" s="152">
        <f t="shared" si="48"/>
        <v>0</v>
      </c>
      <c r="CC54" s="158"/>
      <c r="CD54" s="152">
        <f t="shared" si="49"/>
        <v>0</v>
      </c>
      <c r="CE54" s="155">
        <f t="shared" si="50"/>
        <v>2.5</v>
      </c>
      <c r="CF54" s="152">
        <f t="shared" si="51"/>
        <v>4769.8945312499991</v>
      </c>
      <c r="CG54" s="152"/>
      <c r="CH54" s="152">
        <f t="shared" si="52"/>
        <v>1589.96484375</v>
      </c>
      <c r="CI54" s="152"/>
      <c r="CJ54" s="159">
        <f t="shared" si="53"/>
        <v>1589.96484375</v>
      </c>
      <c r="CK54" s="152">
        <f t="shared" si="25"/>
        <v>17489.61328125</v>
      </c>
      <c r="CL54" s="160">
        <f t="shared" si="54"/>
        <v>22259.5078125</v>
      </c>
    </row>
    <row r="55" spans="1:90" s="161" customFormat="1" x14ac:dyDescent="0.25">
      <c r="A55" s="185">
        <v>21</v>
      </c>
      <c r="B55" s="163" t="s">
        <v>119</v>
      </c>
      <c r="C55" s="163" t="s">
        <v>142</v>
      </c>
      <c r="D55" s="164" t="s">
        <v>77</v>
      </c>
      <c r="E55" s="170">
        <v>27.01</v>
      </c>
      <c r="F55" s="164" t="s">
        <v>96</v>
      </c>
      <c r="G55" s="166">
        <f>8.115*17697</f>
        <v>143611.155</v>
      </c>
      <c r="H55" s="152">
        <f t="shared" si="59"/>
        <v>179513.94375000001</v>
      </c>
      <c r="I55" s="167"/>
      <c r="J55" s="167"/>
      <c r="K55" s="153">
        <v>18</v>
      </c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4">
        <f t="shared" si="72"/>
        <v>0</v>
      </c>
      <c r="X55" s="154">
        <f t="shared" si="72"/>
        <v>0</v>
      </c>
      <c r="Y55" s="153"/>
      <c r="Z55" s="153"/>
      <c r="AA55" s="153"/>
      <c r="AB55" s="153"/>
      <c r="AC55" s="154">
        <f t="shared" si="73"/>
        <v>0</v>
      </c>
      <c r="AD55" s="154">
        <f t="shared" si="73"/>
        <v>0</v>
      </c>
      <c r="AE55" s="152">
        <f t="shared" si="138"/>
        <v>0</v>
      </c>
      <c r="AF55" s="152">
        <f t="shared" si="86"/>
        <v>179513.94375000001</v>
      </c>
      <c r="AG55" s="152">
        <f t="shared" si="87"/>
        <v>0</v>
      </c>
      <c r="AH55" s="152">
        <f t="shared" si="88"/>
        <v>0</v>
      </c>
      <c r="AI55" s="152">
        <f t="shared" si="89"/>
        <v>0</v>
      </c>
      <c r="AJ55" s="152">
        <f t="shared" si="90"/>
        <v>0</v>
      </c>
      <c r="AK55" s="152">
        <f t="shared" si="91"/>
        <v>0</v>
      </c>
      <c r="AL55" s="152">
        <f t="shared" si="92"/>
        <v>0</v>
      </c>
      <c r="AM55" s="152">
        <f t="shared" si="93"/>
        <v>0</v>
      </c>
      <c r="AN55" s="152">
        <f t="shared" si="94"/>
        <v>0</v>
      </c>
      <c r="AO55" s="152">
        <f t="shared" si="95"/>
        <v>0</v>
      </c>
      <c r="AP55" s="152">
        <f t="shared" si="96"/>
        <v>179513.94375000001</v>
      </c>
      <c r="AQ55" s="155"/>
      <c r="AR55" s="152">
        <f t="shared" si="74"/>
        <v>0</v>
      </c>
      <c r="AS55" s="155">
        <v>0</v>
      </c>
      <c r="AT55" s="152">
        <f t="shared" si="75"/>
        <v>0</v>
      </c>
      <c r="AU55" s="155"/>
      <c r="AV55" s="152">
        <f t="shared" si="76"/>
        <v>0</v>
      </c>
      <c r="AW55" s="155">
        <v>9</v>
      </c>
      <c r="AX55" s="152">
        <f t="shared" si="77"/>
        <v>1769.6999999999998</v>
      </c>
      <c r="AY55" s="155"/>
      <c r="AZ55" s="152">
        <f t="shared" si="78"/>
        <v>0</v>
      </c>
      <c r="BA55" s="155"/>
      <c r="BB55" s="152">
        <f t="shared" si="79"/>
        <v>0</v>
      </c>
      <c r="BC55" s="155"/>
      <c r="BD55" s="152">
        <f t="shared" si="80"/>
        <v>0</v>
      </c>
      <c r="BE55" s="155"/>
      <c r="BF55" s="152">
        <f t="shared" si="81"/>
        <v>0</v>
      </c>
      <c r="BG55" s="155"/>
      <c r="BH55" s="152">
        <f t="shared" si="82"/>
        <v>0</v>
      </c>
      <c r="BI55" s="155"/>
      <c r="BJ55" s="152">
        <f t="shared" si="83"/>
        <v>0</v>
      </c>
      <c r="BK55" s="155"/>
      <c r="BL55" s="152">
        <f t="shared" si="84"/>
        <v>0</v>
      </c>
      <c r="BM55" s="155"/>
      <c r="BN55" s="152">
        <f t="shared" si="85"/>
        <v>0</v>
      </c>
      <c r="BO55" s="182"/>
      <c r="BP55" s="152">
        <f t="shared" si="45"/>
        <v>0</v>
      </c>
      <c r="BQ55" s="156">
        <v>0.5</v>
      </c>
      <c r="BR55" s="152">
        <f t="shared" si="46"/>
        <v>4424.25</v>
      </c>
      <c r="BS55" s="155"/>
      <c r="BT55" s="152">
        <f t="shared" si="55"/>
        <v>0</v>
      </c>
      <c r="BU55" s="155"/>
      <c r="BV55" s="152">
        <f t="shared" si="56"/>
        <v>0</v>
      </c>
      <c r="BW55" s="151"/>
      <c r="BX55" s="152">
        <f t="shared" si="57"/>
        <v>0</v>
      </c>
      <c r="BY55" s="157"/>
      <c r="BZ55" s="152">
        <f t="shared" si="47"/>
        <v>0</v>
      </c>
      <c r="CA55" s="157"/>
      <c r="CB55" s="152">
        <f t="shared" si="48"/>
        <v>0</v>
      </c>
      <c r="CC55" s="158">
        <v>18</v>
      </c>
      <c r="CD55" s="152">
        <f t="shared" si="49"/>
        <v>71805.577499999999</v>
      </c>
      <c r="CE55" s="155">
        <f t="shared" si="50"/>
        <v>18</v>
      </c>
      <c r="CF55" s="152">
        <f t="shared" si="51"/>
        <v>53854.183125000003</v>
      </c>
      <c r="CG55" s="152"/>
      <c r="CH55" s="152">
        <f t="shared" si="52"/>
        <v>17951.394375</v>
      </c>
      <c r="CI55" s="152"/>
      <c r="CJ55" s="159">
        <f t="shared" si="53"/>
        <v>24145.344375000001</v>
      </c>
      <c r="CK55" s="152">
        <f t="shared" si="25"/>
        <v>203659.28812500002</v>
      </c>
      <c r="CL55" s="160">
        <f t="shared" si="54"/>
        <v>329319.04875000002</v>
      </c>
    </row>
    <row r="56" spans="1:90" s="161" customFormat="1" x14ac:dyDescent="0.25">
      <c r="A56" s="185"/>
      <c r="B56" s="163" t="s">
        <v>130</v>
      </c>
      <c r="C56" s="163" t="s">
        <v>131</v>
      </c>
      <c r="D56" s="164" t="s">
        <v>77</v>
      </c>
      <c r="E56" s="170">
        <v>3.04</v>
      </c>
      <c r="F56" s="164" t="s">
        <v>94</v>
      </c>
      <c r="G56" s="166">
        <f>6.885*17697</f>
        <v>121843.845</v>
      </c>
      <c r="H56" s="152">
        <f t="shared" si="59"/>
        <v>152304.80624999999</v>
      </c>
      <c r="I56" s="167"/>
      <c r="J56" s="167"/>
      <c r="K56" s="153">
        <v>2</v>
      </c>
      <c r="L56" s="153"/>
      <c r="M56" s="153"/>
      <c r="N56" s="153"/>
      <c r="O56" s="153">
        <v>1</v>
      </c>
      <c r="P56" s="153"/>
      <c r="Q56" s="153">
        <v>1</v>
      </c>
      <c r="R56" s="153"/>
      <c r="S56" s="153"/>
      <c r="T56" s="153"/>
      <c r="U56" s="153">
        <v>1</v>
      </c>
      <c r="V56" s="153"/>
      <c r="W56" s="154">
        <f t="shared" si="72"/>
        <v>3</v>
      </c>
      <c r="X56" s="154">
        <f t="shared" si="72"/>
        <v>0</v>
      </c>
      <c r="Y56" s="153"/>
      <c r="Z56" s="153"/>
      <c r="AA56" s="153">
        <v>2</v>
      </c>
      <c r="AB56" s="153"/>
      <c r="AC56" s="154">
        <f t="shared" si="73"/>
        <v>2</v>
      </c>
      <c r="AD56" s="154">
        <f t="shared" si="73"/>
        <v>0</v>
      </c>
      <c r="AE56" s="152">
        <f t="shared" si="138"/>
        <v>0</v>
      </c>
      <c r="AF56" s="152">
        <f t="shared" si="86"/>
        <v>16922.756249999999</v>
      </c>
      <c r="AG56" s="152">
        <f t="shared" si="87"/>
        <v>0</v>
      </c>
      <c r="AH56" s="152">
        <f t="shared" si="88"/>
        <v>8461.3781249999993</v>
      </c>
      <c r="AI56" s="152">
        <f t="shared" si="89"/>
        <v>8461.3781249999993</v>
      </c>
      <c r="AJ56" s="152">
        <f t="shared" si="90"/>
        <v>0</v>
      </c>
      <c r="AK56" s="152">
        <f t="shared" si="91"/>
        <v>8461.3781249999993</v>
      </c>
      <c r="AL56" s="152">
        <f t="shared" si="92"/>
        <v>25384.134374999998</v>
      </c>
      <c r="AM56" s="152">
        <f t="shared" si="93"/>
        <v>0</v>
      </c>
      <c r="AN56" s="152">
        <f t="shared" si="94"/>
        <v>16922.756249999999</v>
      </c>
      <c r="AO56" s="152">
        <f t="shared" si="95"/>
        <v>16922.756249999999</v>
      </c>
      <c r="AP56" s="152">
        <f t="shared" si="96"/>
        <v>59229.646874999999</v>
      </c>
      <c r="AQ56" s="155"/>
      <c r="AR56" s="152">
        <f t="shared" si="74"/>
        <v>0</v>
      </c>
      <c r="AS56" s="155"/>
      <c r="AT56" s="152">
        <f t="shared" si="75"/>
        <v>0</v>
      </c>
      <c r="AU56" s="155"/>
      <c r="AV56" s="152">
        <f t="shared" si="76"/>
        <v>0</v>
      </c>
      <c r="AW56" s="155"/>
      <c r="AX56" s="152">
        <f t="shared" si="77"/>
        <v>0</v>
      </c>
      <c r="AY56" s="155"/>
      <c r="AZ56" s="152">
        <f t="shared" si="78"/>
        <v>0</v>
      </c>
      <c r="BA56" s="155"/>
      <c r="BB56" s="152">
        <f t="shared" si="79"/>
        <v>0</v>
      </c>
      <c r="BC56" s="155"/>
      <c r="BD56" s="152">
        <f t="shared" si="80"/>
        <v>0</v>
      </c>
      <c r="BE56" s="155"/>
      <c r="BF56" s="152">
        <f t="shared" si="81"/>
        <v>0</v>
      </c>
      <c r="BG56" s="155"/>
      <c r="BH56" s="152">
        <f t="shared" si="82"/>
        <v>0</v>
      </c>
      <c r="BI56" s="155"/>
      <c r="BJ56" s="152">
        <f t="shared" si="83"/>
        <v>0</v>
      </c>
      <c r="BK56" s="155"/>
      <c r="BL56" s="152">
        <f t="shared" si="84"/>
        <v>0</v>
      </c>
      <c r="BM56" s="155"/>
      <c r="BN56" s="152">
        <f t="shared" si="85"/>
        <v>0</v>
      </c>
      <c r="BO56" s="156"/>
      <c r="BP56" s="152">
        <f t="shared" si="45"/>
        <v>0</v>
      </c>
      <c r="BQ56" s="156"/>
      <c r="BR56" s="152">
        <f t="shared" si="46"/>
        <v>0</v>
      </c>
      <c r="BS56" s="155"/>
      <c r="BT56" s="152"/>
      <c r="BU56" s="155"/>
      <c r="BV56" s="152"/>
      <c r="BW56" s="151"/>
      <c r="BX56" s="152"/>
      <c r="BY56" s="157">
        <v>7</v>
      </c>
      <c r="BZ56" s="152">
        <f t="shared" si="47"/>
        <v>17768.8940625</v>
      </c>
      <c r="CA56" s="157"/>
      <c r="CB56" s="152">
        <f t="shared" si="48"/>
        <v>0</v>
      </c>
      <c r="CC56" s="158"/>
      <c r="CD56" s="152">
        <f t="shared" si="49"/>
        <v>0</v>
      </c>
      <c r="CE56" s="155">
        <f t="shared" si="50"/>
        <v>7</v>
      </c>
      <c r="CF56" s="152">
        <f t="shared" si="51"/>
        <v>17768.8940625</v>
      </c>
      <c r="CG56" s="152"/>
      <c r="CH56" s="152">
        <f t="shared" si="52"/>
        <v>5922.9646874999999</v>
      </c>
      <c r="CI56" s="152"/>
      <c r="CJ56" s="159">
        <f t="shared" si="53"/>
        <v>5922.9646874999999</v>
      </c>
      <c r="CK56" s="152">
        <f t="shared" si="25"/>
        <v>65152.611562499995</v>
      </c>
      <c r="CL56" s="160">
        <f t="shared" si="54"/>
        <v>100690.39968749999</v>
      </c>
    </row>
    <row r="57" spans="1:90" s="161" customFormat="1" x14ac:dyDescent="0.25">
      <c r="A57" s="185"/>
      <c r="B57" s="163"/>
      <c r="C57" s="163" t="s">
        <v>128</v>
      </c>
      <c r="D57" s="164" t="s">
        <v>116</v>
      </c>
      <c r="E57" s="170">
        <v>3.04</v>
      </c>
      <c r="F57" s="164" t="s">
        <v>95</v>
      </c>
      <c r="G57" s="166">
        <f>5.175*17697</f>
        <v>91581.974999999991</v>
      </c>
      <c r="H57" s="152">
        <f t="shared" si="59"/>
        <v>114477.46874999999</v>
      </c>
      <c r="I57" s="167"/>
      <c r="J57" s="167"/>
      <c r="K57" s="153"/>
      <c r="L57" s="153"/>
      <c r="M57" s="153"/>
      <c r="N57" s="153"/>
      <c r="O57" s="153">
        <v>5</v>
      </c>
      <c r="P57" s="153"/>
      <c r="Q57" s="153">
        <v>5</v>
      </c>
      <c r="R57" s="153"/>
      <c r="S57" s="153"/>
      <c r="T57" s="153"/>
      <c r="U57" s="153"/>
      <c r="V57" s="153"/>
      <c r="W57" s="154">
        <f t="shared" si="72"/>
        <v>10</v>
      </c>
      <c r="X57" s="154">
        <f t="shared" si="72"/>
        <v>0</v>
      </c>
      <c r="Y57" s="153"/>
      <c r="Z57" s="153"/>
      <c r="AA57" s="153"/>
      <c r="AB57" s="153"/>
      <c r="AC57" s="154">
        <f t="shared" si="73"/>
        <v>0</v>
      </c>
      <c r="AD57" s="154">
        <f t="shared" si="73"/>
        <v>0</v>
      </c>
      <c r="AE57" s="152">
        <f t="shared" si="138"/>
        <v>0</v>
      </c>
      <c r="AF57" s="152">
        <f t="shared" si="86"/>
        <v>0</v>
      </c>
      <c r="AG57" s="152">
        <f t="shared" si="87"/>
        <v>0</v>
      </c>
      <c r="AH57" s="152">
        <f t="shared" si="88"/>
        <v>31799.296874999996</v>
      </c>
      <c r="AI57" s="152">
        <f t="shared" si="89"/>
        <v>31799.296874999996</v>
      </c>
      <c r="AJ57" s="152">
        <f t="shared" si="90"/>
        <v>0</v>
      </c>
      <c r="AK57" s="152">
        <f t="shared" si="91"/>
        <v>0</v>
      </c>
      <c r="AL57" s="152">
        <f t="shared" si="92"/>
        <v>63598.593749999993</v>
      </c>
      <c r="AM57" s="152">
        <f t="shared" si="93"/>
        <v>0</v>
      </c>
      <c r="AN57" s="152">
        <f t="shared" si="94"/>
        <v>0</v>
      </c>
      <c r="AO57" s="152">
        <f t="shared" si="95"/>
        <v>0</v>
      </c>
      <c r="AP57" s="152">
        <f t="shared" si="96"/>
        <v>63598.593749999993</v>
      </c>
      <c r="AQ57" s="155"/>
      <c r="AR57" s="152">
        <f t="shared" si="74"/>
        <v>0</v>
      </c>
      <c r="AS57" s="155"/>
      <c r="AT57" s="152">
        <f t="shared" si="75"/>
        <v>0</v>
      </c>
      <c r="AU57" s="155"/>
      <c r="AV57" s="152">
        <f t="shared" si="76"/>
        <v>0</v>
      </c>
      <c r="AW57" s="155"/>
      <c r="AX57" s="152">
        <f t="shared" si="77"/>
        <v>0</v>
      </c>
      <c r="AY57" s="155"/>
      <c r="AZ57" s="152">
        <f t="shared" si="78"/>
        <v>0</v>
      </c>
      <c r="BA57" s="155"/>
      <c r="BB57" s="152">
        <f t="shared" si="79"/>
        <v>0</v>
      </c>
      <c r="BC57" s="155"/>
      <c r="BD57" s="152">
        <f t="shared" si="80"/>
        <v>0</v>
      </c>
      <c r="BE57" s="155">
        <v>10</v>
      </c>
      <c r="BF57" s="152">
        <f t="shared" si="81"/>
        <v>1966.3333333333333</v>
      </c>
      <c r="BG57" s="155"/>
      <c r="BH57" s="152">
        <f t="shared" si="82"/>
        <v>0</v>
      </c>
      <c r="BI57" s="155"/>
      <c r="BJ57" s="152">
        <f t="shared" si="83"/>
        <v>0</v>
      </c>
      <c r="BK57" s="155"/>
      <c r="BL57" s="152">
        <f t="shared" si="84"/>
        <v>0</v>
      </c>
      <c r="BM57" s="155"/>
      <c r="BN57" s="152">
        <f t="shared" si="85"/>
        <v>0</v>
      </c>
      <c r="BO57" s="156"/>
      <c r="BP57" s="152">
        <f t="shared" si="45"/>
        <v>0</v>
      </c>
      <c r="BQ57" s="156"/>
      <c r="BR57" s="152">
        <f t="shared" si="46"/>
        <v>0</v>
      </c>
      <c r="BS57" s="155"/>
      <c r="BT57" s="152"/>
      <c r="BU57" s="155"/>
      <c r="BV57" s="152"/>
      <c r="BW57" s="151"/>
      <c r="BX57" s="152"/>
      <c r="BY57" s="157"/>
      <c r="BZ57" s="152">
        <f t="shared" si="47"/>
        <v>0</v>
      </c>
      <c r="CA57" s="157"/>
      <c r="CB57" s="152">
        <f t="shared" si="48"/>
        <v>0</v>
      </c>
      <c r="CC57" s="158"/>
      <c r="CD57" s="152">
        <f t="shared" si="49"/>
        <v>0</v>
      </c>
      <c r="CE57" s="155">
        <f t="shared" si="50"/>
        <v>10</v>
      </c>
      <c r="CF57" s="152">
        <f t="shared" si="51"/>
        <v>19079.578124999996</v>
      </c>
      <c r="CG57" s="152"/>
      <c r="CH57" s="152">
        <f t="shared" si="52"/>
        <v>6359.859375</v>
      </c>
      <c r="CI57" s="152"/>
      <c r="CJ57" s="159">
        <f t="shared" si="53"/>
        <v>8326.1927083333339</v>
      </c>
      <c r="CK57" s="152">
        <f t="shared" si="25"/>
        <v>71924.786458333328</v>
      </c>
      <c r="CL57" s="160">
        <f t="shared" si="54"/>
        <v>91004.364583333328</v>
      </c>
    </row>
    <row r="58" spans="1:90" s="161" customFormat="1" x14ac:dyDescent="0.25">
      <c r="A58" s="185"/>
      <c r="B58" s="163" t="s">
        <v>144</v>
      </c>
      <c r="C58" s="163" t="s">
        <v>147</v>
      </c>
      <c r="D58" s="164" t="s">
        <v>143</v>
      </c>
      <c r="E58" s="170">
        <v>11.04</v>
      </c>
      <c r="F58" s="164" t="s">
        <v>93</v>
      </c>
      <c r="G58" s="166">
        <f>6.57*17697</f>
        <v>116269.29000000001</v>
      </c>
      <c r="H58" s="152">
        <f t="shared" si="59"/>
        <v>145336.61250000002</v>
      </c>
      <c r="I58" s="167">
        <v>1</v>
      </c>
      <c r="J58" s="167"/>
      <c r="K58" s="153">
        <v>8</v>
      </c>
      <c r="L58" s="153">
        <v>2</v>
      </c>
      <c r="M58" s="153"/>
      <c r="N58" s="153"/>
      <c r="O58" s="153">
        <v>3</v>
      </c>
      <c r="P58" s="153"/>
      <c r="Q58" s="153">
        <v>3</v>
      </c>
      <c r="R58" s="153"/>
      <c r="S58" s="153"/>
      <c r="T58" s="153"/>
      <c r="U58" s="153">
        <v>3</v>
      </c>
      <c r="V58" s="153"/>
      <c r="W58" s="154">
        <f t="shared" si="72"/>
        <v>9</v>
      </c>
      <c r="X58" s="154">
        <f t="shared" si="72"/>
        <v>0</v>
      </c>
      <c r="Y58" s="153"/>
      <c r="Z58" s="153"/>
      <c r="AA58" s="153">
        <v>3</v>
      </c>
      <c r="AB58" s="153"/>
      <c r="AC58" s="154">
        <f t="shared" si="73"/>
        <v>3</v>
      </c>
      <c r="AD58" s="154">
        <f t="shared" si="73"/>
        <v>0</v>
      </c>
      <c r="AE58" s="152">
        <f t="shared" si="138"/>
        <v>6055.6921875000007</v>
      </c>
      <c r="AF58" s="152">
        <f t="shared" si="86"/>
        <v>80742.562500000015</v>
      </c>
      <c r="AG58" s="152">
        <f t="shared" si="87"/>
        <v>0</v>
      </c>
      <c r="AH58" s="152">
        <f t="shared" si="88"/>
        <v>24222.768750000003</v>
      </c>
      <c r="AI58" s="152">
        <f t="shared" si="89"/>
        <v>24222.768750000003</v>
      </c>
      <c r="AJ58" s="152">
        <f t="shared" si="90"/>
        <v>0</v>
      </c>
      <c r="AK58" s="152">
        <f t="shared" si="91"/>
        <v>24222.768750000003</v>
      </c>
      <c r="AL58" s="152">
        <f t="shared" si="92"/>
        <v>72668.306250000009</v>
      </c>
      <c r="AM58" s="152">
        <f t="shared" si="93"/>
        <v>0</v>
      </c>
      <c r="AN58" s="152">
        <f t="shared" si="94"/>
        <v>24222.768750000003</v>
      </c>
      <c r="AO58" s="152">
        <f t="shared" si="95"/>
        <v>24222.768750000003</v>
      </c>
      <c r="AP58" s="152">
        <f t="shared" si="96"/>
        <v>183689.32968750002</v>
      </c>
      <c r="AQ58" s="155"/>
      <c r="AR58" s="152"/>
      <c r="AS58" s="155"/>
      <c r="AT58" s="152"/>
      <c r="AU58" s="155"/>
      <c r="AV58" s="152"/>
      <c r="AW58" s="155">
        <v>8</v>
      </c>
      <c r="AX58" s="152">
        <f t="shared" si="77"/>
        <v>1573.0666666666666</v>
      </c>
      <c r="AY58" s="155"/>
      <c r="AZ58" s="152"/>
      <c r="BA58" s="155">
        <v>9</v>
      </c>
      <c r="BB58" s="152">
        <f t="shared" si="79"/>
        <v>2212.125</v>
      </c>
      <c r="BC58" s="155"/>
      <c r="BD58" s="152"/>
      <c r="BE58" s="155"/>
      <c r="BF58" s="152">
        <f t="shared" si="81"/>
        <v>0</v>
      </c>
      <c r="BG58" s="155"/>
      <c r="BH58" s="152"/>
      <c r="BI58" s="155"/>
      <c r="BJ58" s="152"/>
      <c r="BK58" s="155"/>
      <c r="BL58" s="152"/>
      <c r="BM58" s="155">
        <v>3</v>
      </c>
      <c r="BN58" s="152">
        <f t="shared" si="85"/>
        <v>589.9</v>
      </c>
      <c r="BO58" s="156">
        <v>0.5</v>
      </c>
      <c r="BP58" s="152">
        <f t="shared" si="45"/>
        <v>5309.1</v>
      </c>
      <c r="BQ58" s="156"/>
      <c r="BR58" s="152"/>
      <c r="BS58" s="155"/>
      <c r="BT58" s="152"/>
      <c r="BU58" s="155"/>
      <c r="BV58" s="152"/>
      <c r="BW58" s="151"/>
      <c r="BX58" s="152"/>
      <c r="BY58" s="157"/>
      <c r="BZ58" s="152"/>
      <c r="CA58" s="157"/>
      <c r="CB58" s="152"/>
      <c r="CC58" s="158"/>
      <c r="CD58" s="152"/>
      <c r="CE58" s="155">
        <f t="shared" si="50"/>
        <v>22</v>
      </c>
      <c r="CF58" s="152">
        <f t="shared" si="51"/>
        <v>53290.091250000012</v>
      </c>
      <c r="CG58" s="152"/>
      <c r="CH58" s="152">
        <f t="shared" si="52"/>
        <v>18368.932968750003</v>
      </c>
      <c r="CI58" s="152"/>
      <c r="CJ58" s="159">
        <f t="shared" si="53"/>
        <v>28053.124635416669</v>
      </c>
      <c r="CK58" s="152">
        <f t="shared" si="25"/>
        <v>211742.45432291669</v>
      </c>
      <c r="CL58" s="160">
        <f t="shared" si="54"/>
        <v>265032.54557291669</v>
      </c>
    </row>
    <row r="59" spans="1:90" s="62" customFormat="1" x14ac:dyDescent="0.25">
      <c r="A59" s="82"/>
      <c r="B59" s="79" t="s">
        <v>133</v>
      </c>
      <c r="C59" s="79" t="s">
        <v>148</v>
      </c>
      <c r="D59" s="75" t="s">
        <v>116</v>
      </c>
      <c r="E59" s="68">
        <v>2.04</v>
      </c>
      <c r="F59" s="75" t="s">
        <v>95</v>
      </c>
      <c r="G59" s="80">
        <f>5.115*17697</f>
        <v>90520.154999999999</v>
      </c>
      <c r="H59" s="49">
        <f t="shared" si="59"/>
        <v>113150.19375000001</v>
      </c>
      <c r="I59" s="51"/>
      <c r="J59" s="51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7">
        <f t="shared" si="72"/>
        <v>0</v>
      </c>
      <c r="X59" s="47">
        <f t="shared" si="72"/>
        <v>0</v>
      </c>
      <c r="Y59" s="48"/>
      <c r="Z59" s="48"/>
      <c r="AA59" s="48"/>
      <c r="AB59" s="48"/>
      <c r="AC59" s="47">
        <f t="shared" si="73"/>
        <v>0</v>
      </c>
      <c r="AD59" s="47">
        <f t="shared" si="73"/>
        <v>0</v>
      </c>
      <c r="AE59" s="49">
        <f t="shared" si="138"/>
        <v>0</v>
      </c>
      <c r="AF59" s="49">
        <f t="shared" si="86"/>
        <v>0</v>
      </c>
      <c r="AG59" s="49">
        <f t="shared" si="87"/>
        <v>0</v>
      </c>
      <c r="AH59" s="49">
        <f t="shared" si="88"/>
        <v>0</v>
      </c>
      <c r="AI59" s="49">
        <f t="shared" si="89"/>
        <v>0</v>
      </c>
      <c r="AJ59" s="49">
        <f t="shared" si="90"/>
        <v>0</v>
      </c>
      <c r="AK59" s="49">
        <f t="shared" si="91"/>
        <v>0</v>
      </c>
      <c r="AL59" s="49">
        <f t="shared" si="92"/>
        <v>0</v>
      </c>
      <c r="AM59" s="49">
        <f t="shared" si="93"/>
        <v>0</v>
      </c>
      <c r="AN59" s="49">
        <f t="shared" si="94"/>
        <v>0</v>
      </c>
      <c r="AO59" s="49">
        <f t="shared" si="95"/>
        <v>0</v>
      </c>
      <c r="AP59" s="49">
        <f t="shared" si="96"/>
        <v>0</v>
      </c>
      <c r="AQ59" s="57"/>
      <c r="AR59" s="49">
        <f t="shared" si="74"/>
        <v>0</v>
      </c>
      <c r="AS59" s="57"/>
      <c r="AT59" s="49">
        <f t="shared" si="75"/>
        <v>0</v>
      </c>
      <c r="AU59" s="57"/>
      <c r="AV59" s="49">
        <f t="shared" si="76"/>
        <v>0</v>
      </c>
      <c r="AW59" s="57"/>
      <c r="AX59" s="49">
        <f t="shared" si="77"/>
        <v>0</v>
      </c>
      <c r="AY59" s="57"/>
      <c r="AZ59" s="49">
        <f t="shared" si="78"/>
        <v>0</v>
      </c>
      <c r="BA59" s="57"/>
      <c r="BB59" s="49">
        <f t="shared" si="79"/>
        <v>0</v>
      </c>
      <c r="BC59" s="57"/>
      <c r="BD59" s="49">
        <f t="shared" si="80"/>
        <v>0</v>
      </c>
      <c r="BE59" s="57"/>
      <c r="BF59" s="49">
        <f t="shared" si="81"/>
        <v>0</v>
      </c>
      <c r="BG59" s="57"/>
      <c r="BH59" s="49">
        <f t="shared" si="82"/>
        <v>0</v>
      </c>
      <c r="BI59" s="57"/>
      <c r="BJ59" s="49">
        <f t="shared" si="83"/>
        <v>0</v>
      </c>
      <c r="BK59" s="57"/>
      <c r="BL59" s="49">
        <f t="shared" si="84"/>
        <v>0</v>
      </c>
      <c r="BM59" s="57"/>
      <c r="BN59" s="49">
        <f t="shared" si="85"/>
        <v>0</v>
      </c>
      <c r="BO59" s="58"/>
      <c r="BP59" s="49">
        <f t="shared" si="45"/>
        <v>0</v>
      </c>
      <c r="BQ59" s="58"/>
      <c r="BR59" s="49">
        <f t="shared" si="46"/>
        <v>0</v>
      </c>
      <c r="BS59" s="57"/>
      <c r="BT59" s="49"/>
      <c r="BU59" s="57"/>
      <c r="BV59" s="49"/>
      <c r="BW59" s="56"/>
      <c r="BX59" s="49"/>
      <c r="BY59" s="59"/>
      <c r="BZ59" s="49">
        <f t="shared" si="47"/>
        <v>0</v>
      </c>
      <c r="CA59" s="59"/>
      <c r="CB59" s="49">
        <f t="shared" si="48"/>
        <v>0</v>
      </c>
      <c r="CC59" s="60"/>
      <c r="CD59" s="49">
        <f t="shared" si="49"/>
        <v>0</v>
      </c>
      <c r="CE59" s="57">
        <f t="shared" si="50"/>
        <v>0</v>
      </c>
      <c r="CF59" s="49">
        <f t="shared" si="51"/>
        <v>0</v>
      </c>
      <c r="CG59" s="49"/>
      <c r="CH59" s="49">
        <f t="shared" si="52"/>
        <v>0</v>
      </c>
      <c r="CI59" s="49"/>
      <c r="CJ59" s="61">
        <f t="shared" si="53"/>
        <v>0</v>
      </c>
      <c r="CK59" s="49">
        <f t="shared" si="25"/>
        <v>0</v>
      </c>
      <c r="CL59" s="106">
        <f t="shared" si="54"/>
        <v>0</v>
      </c>
    </row>
    <row r="60" spans="1:90" s="62" customFormat="1" x14ac:dyDescent="0.25">
      <c r="A60" s="82"/>
      <c r="B60" s="111"/>
      <c r="C60" s="115"/>
      <c r="D60" s="91"/>
      <c r="E60" s="110"/>
      <c r="F60" s="91"/>
      <c r="G60" s="78"/>
      <c r="H60" s="49">
        <f t="shared" si="59"/>
        <v>0</v>
      </c>
      <c r="I60" s="51"/>
      <c r="J60" s="51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7">
        <f t="shared" si="72"/>
        <v>0</v>
      </c>
      <c r="X60" s="47">
        <f t="shared" si="72"/>
        <v>0</v>
      </c>
      <c r="Y60" s="48"/>
      <c r="Z60" s="48"/>
      <c r="AA60" s="48"/>
      <c r="AB60" s="48"/>
      <c r="AC60" s="47">
        <f t="shared" si="73"/>
        <v>0</v>
      </c>
      <c r="AD60" s="47">
        <f t="shared" si="73"/>
        <v>0</v>
      </c>
      <c r="AE60" s="49">
        <f t="shared" si="138"/>
        <v>0</v>
      </c>
      <c r="AF60" s="49">
        <f t="shared" si="86"/>
        <v>0</v>
      </c>
      <c r="AG60" s="49">
        <f t="shared" si="87"/>
        <v>0</v>
      </c>
      <c r="AH60" s="49">
        <f t="shared" si="88"/>
        <v>0</v>
      </c>
      <c r="AI60" s="49">
        <f t="shared" si="89"/>
        <v>0</v>
      </c>
      <c r="AJ60" s="49">
        <f t="shared" si="90"/>
        <v>0</v>
      </c>
      <c r="AK60" s="49">
        <f t="shared" si="91"/>
        <v>0</v>
      </c>
      <c r="AL60" s="49">
        <f t="shared" si="92"/>
        <v>0</v>
      </c>
      <c r="AM60" s="49">
        <f t="shared" si="93"/>
        <v>0</v>
      </c>
      <c r="AN60" s="49">
        <f t="shared" si="94"/>
        <v>0</v>
      </c>
      <c r="AO60" s="49">
        <f t="shared" si="95"/>
        <v>0</v>
      </c>
      <c r="AP60" s="49">
        <f t="shared" si="96"/>
        <v>0</v>
      </c>
      <c r="AQ60" s="57"/>
      <c r="AR60" s="49"/>
      <c r="AS60" s="57"/>
      <c r="AT60" s="49"/>
      <c r="AU60" s="57"/>
      <c r="AV60" s="49"/>
      <c r="AW60" s="57"/>
      <c r="AX60" s="49">
        <f t="shared" si="77"/>
        <v>0</v>
      </c>
      <c r="AY60" s="57"/>
      <c r="AZ60" s="49"/>
      <c r="BA60" s="57"/>
      <c r="BB60" s="49">
        <f t="shared" si="79"/>
        <v>0</v>
      </c>
      <c r="BC60" s="57"/>
      <c r="BD60" s="49"/>
      <c r="BE60" s="57"/>
      <c r="BF60" s="49">
        <f t="shared" si="81"/>
        <v>0</v>
      </c>
      <c r="BG60" s="57"/>
      <c r="BH60" s="49"/>
      <c r="BI60" s="57"/>
      <c r="BJ60" s="49"/>
      <c r="BK60" s="57"/>
      <c r="BL60" s="49"/>
      <c r="BM60" s="57"/>
      <c r="BN60" s="49">
        <f t="shared" si="85"/>
        <v>0</v>
      </c>
      <c r="BO60" s="58"/>
      <c r="BP60" s="49">
        <f t="shared" si="45"/>
        <v>0</v>
      </c>
      <c r="BQ60" s="58"/>
      <c r="BR60" s="49"/>
      <c r="BS60" s="57"/>
      <c r="BT60" s="49"/>
      <c r="BU60" s="57"/>
      <c r="BV60" s="49"/>
      <c r="BW60" s="56"/>
      <c r="BX60" s="49"/>
      <c r="BY60" s="59"/>
      <c r="BZ60" s="49"/>
      <c r="CA60" s="59"/>
      <c r="CB60" s="49"/>
      <c r="CC60" s="60"/>
      <c r="CD60" s="49"/>
      <c r="CE60" s="57">
        <f t="shared" si="50"/>
        <v>0</v>
      </c>
      <c r="CF60" s="49">
        <f t="shared" si="51"/>
        <v>0</v>
      </c>
      <c r="CG60" s="49"/>
      <c r="CH60" s="49">
        <f t="shared" si="52"/>
        <v>0</v>
      </c>
      <c r="CI60" s="49"/>
      <c r="CJ60" s="61">
        <f t="shared" si="53"/>
        <v>0</v>
      </c>
      <c r="CK60" s="49">
        <f t="shared" si="25"/>
        <v>0</v>
      </c>
      <c r="CL60" s="106">
        <f t="shared" si="54"/>
        <v>0</v>
      </c>
    </row>
    <row r="61" spans="1:90" s="161" customFormat="1" x14ac:dyDescent="0.25">
      <c r="A61" s="162"/>
      <c r="B61" s="208" t="s">
        <v>110</v>
      </c>
      <c r="C61" s="163" t="s">
        <v>83</v>
      </c>
      <c r="D61" s="164" t="s">
        <v>166</v>
      </c>
      <c r="E61" s="165">
        <v>23.07</v>
      </c>
      <c r="F61" s="164" t="s">
        <v>93</v>
      </c>
      <c r="G61" s="166">
        <v>123967</v>
      </c>
      <c r="H61" s="152">
        <f t="shared" si="59"/>
        <v>154958.75</v>
      </c>
      <c r="I61" s="167"/>
      <c r="J61" s="167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4">
        <f t="shared" si="72"/>
        <v>0</v>
      </c>
      <c r="X61" s="154">
        <f t="shared" si="72"/>
        <v>0</v>
      </c>
      <c r="Y61" s="168"/>
      <c r="Z61" s="167"/>
      <c r="AA61" s="153">
        <v>6</v>
      </c>
      <c r="AB61" s="153"/>
      <c r="AC61" s="154">
        <f t="shared" si="73"/>
        <v>6</v>
      </c>
      <c r="AD61" s="154">
        <f t="shared" si="73"/>
        <v>0</v>
      </c>
      <c r="AE61" s="152">
        <f t="shared" si="138"/>
        <v>0</v>
      </c>
      <c r="AF61" s="152">
        <f t="shared" si="86"/>
        <v>0</v>
      </c>
      <c r="AG61" s="152">
        <f t="shared" si="87"/>
        <v>0</v>
      </c>
      <c r="AH61" s="152">
        <f t="shared" si="88"/>
        <v>0</v>
      </c>
      <c r="AI61" s="152">
        <f t="shared" si="89"/>
        <v>0</v>
      </c>
      <c r="AJ61" s="152">
        <f t="shared" si="90"/>
        <v>0</v>
      </c>
      <c r="AK61" s="152">
        <f t="shared" si="91"/>
        <v>0</v>
      </c>
      <c r="AL61" s="152">
        <f t="shared" si="92"/>
        <v>0</v>
      </c>
      <c r="AM61" s="152">
        <f t="shared" si="93"/>
        <v>0</v>
      </c>
      <c r="AN61" s="152">
        <f t="shared" si="94"/>
        <v>51652.916666666672</v>
      </c>
      <c r="AO61" s="152">
        <f t="shared" si="95"/>
        <v>51652.916666666672</v>
      </c>
      <c r="AP61" s="152">
        <f t="shared" si="96"/>
        <v>51652.916666666672</v>
      </c>
      <c r="AQ61" s="155"/>
      <c r="AR61" s="152">
        <f t="shared" ref="AR61" si="139">(17697*50/100)/18*AQ61</f>
        <v>0</v>
      </c>
      <c r="AS61" s="155"/>
      <c r="AT61" s="152">
        <f t="shared" ref="AT61" si="140">(17697*25/100)/18*AS61</f>
        <v>0</v>
      </c>
      <c r="AU61" s="155"/>
      <c r="AV61" s="152">
        <f t="shared" ref="AV61" si="141">(17697*40/100)/18*AU61</f>
        <v>0</v>
      </c>
      <c r="AW61" s="155"/>
      <c r="AX61" s="152">
        <f t="shared" si="77"/>
        <v>0</v>
      </c>
      <c r="AY61" s="155"/>
      <c r="AZ61" s="152">
        <f t="shared" ref="AZ61" si="142">(17697*50/100)/18*AY61</f>
        <v>0</v>
      </c>
      <c r="BA61" s="155"/>
      <c r="BB61" s="152">
        <f t="shared" si="79"/>
        <v>0</v>
      </c>
      <c r="BC61" s="155"/>
      <c r="BD61" s="152">
        <f t="shared" ref="BD61" si="143">(17697*40/100)/18*BC61</f>
        <v>0</v>
      </c>
      <c r="BE61" s="155">
        <v>6</v>
      </c>
      <c r="BF61" s="152">
        <f t="shared" si="81"/>
        <v>1179.8</v>
      </c>
      <c r="BG61" s="155"/>
      <c r="BH61" s="152">
        <f t="shared" ref="BH61" si="144">(17697*50/100)/18*BG61</f>
        <v>0</v>
      </c>
      <c r="BI61" s="155"/>
      <c r="BJ61" s="152">
        <f t="shared" ref="BJ61" si="145">(17697*25/100)/18*BI61</f>
        <v>0</v>
      </c>
      <c r="BK61" s="155"/>
      <c r="BL61" s="152">
        <f t="shared" ref="BL61" si="146">(17697*40/100)/18*BK61</f>
        <v>0</v>
      </c>
      <c r="BM61" s="155"/>
      <c r="BN61" s="152">
        <v>0</v>
      </c>
      <c r="BO61" s="156"/>
      <c r="BP61" s="152">
        <f t="shared" si="45"/>
        <v>0</v>
      </c>
      <c r="BQ61" s="156"/>
      <c r="BR61" s="152">
        <f t="shared" ref="BR61" si="147">(17697*50/100)*BQ61</f>
        <v>0</v>
      </c>
      <c r="BS61" s="155"/>
      <c r="BT61" s="152"/>
      <c r="BU61" s="155"/>
      <c r="BV61" s="152"/>
      <c r="BW61" s="151"/>
      <c r="BX61" s="152"/>
      <c r="BY61" s="157"/>
      <c r="BZ61" s="152">
        <f t="shared" ref="BZ61" si="148">H61*0.3/18*BY61</f>
        <v>0</v>
      </c>
      <c r="CA61" s="157"/>
      <c r="CB61" s="152">
        <f t="shared" ref="CB61" si="149">H61*0.35/18*CA61</f>
        <v>0</v>
      </c>
      <c r="CC61" s="158"/>
      <c r="CD61" s="152">
        <f t="shared" ref="CD61" si="150">H61*0.4/18*CC61</f>
        <v>0</v>
      </c>
      <c r="CE61" s="155">
        <f t="shared" si="50"/>
        <v>6</v>
      </c>
      <c r="CF61" s="152">
        <f t="shared" si="51"/>
        <v>15495.875</v>
      </c>
      <c r="CG61" s="152"/>
      <c r="CH61" s="152">
        <f t="shared" si="52"/>
        <v>5165.2916666666679</v>
      </c>
      <c r="CI61" s="152"/>
      <c r="CJ61" s="159">
        <f t="shared" si="53"/>
        <v>6345.0916666666681</v>
      </c>
      <c r="CK61" s="152">
        <f t="shared" si="25"/>
        <v>57998.008333333339</v>
      </c>
      <c r="CL61" s="160">
        <f t="shared" si="54"/>
        <v>73493.883333333331</v>
      </c>
    </row>
    <row r="62" spans="1:90" s="161" customFormat="1" x14ac:dyDescent="0.25">
      <c r="A62" s="169"/>
      <c r="B62" s="208"/>
      <c r="C62" s="163" t="s">
        <v>88</v>
      </c>
      <c r="D62" s="164"/>
      <c r="E62" s="170"/>
      <c r="F62" s="164" t="s">
        <v>95</v>
      </c>
      <c r="G62" s="166">
        <v>97953</v>
      </c>
      <c r="H62" s="152">
        <f t="shared" si="59"/>
        <v>122441.25</v>
      </c>
      <c r="I62" s="167"/>
      <c r="J62" s="167"/>
      <c r="K62" s="153"/>
      <c r="L62" s="153"/>
      <c r="M62" s="153"/>
      <c r="N62" s="153"/>
      <c r="O62" s="153"/>
      <c r="P62" s="153"/>
      <c r="Q62" s="153">
        <v>2</v>
      </c>
      <c r="R62" s="153"/>
      <c r="S62" s="153"/>
      <c r="T62" s="153"/>
      <c r="U62" s="153">
        <v>2</v>
      </c>
      <c r="V62" s="153"/>
      <c r="W62" s="154">
        <f t="shared" si="72"/>
        <v>4</v>
      </c>
      <c r="X62" s="154">
        <f t="shared" si="72"/>
        <v>0</v>
      </c>
      <c r="Y62" s="153"/>
      <c r="Z62" s="153"/>
      <c r="AA62" s="153">
        <v>4</v>
      </c>
      <c r="AB62" s="153"/>
      <c r="AC62" s="154">
        <f t="shared" ref="AC62:AD62" si="151">Y62+AA62</f>
        <v>4</v>
      </c>
      <c r="AD62" s="154">
        <f t="shared" si="151"/>
        <v>0</v>
      </c>
      <c r="AE62" s="152">
        <f t="shared" si="138"/>
        <v>0</v>
      </c>
      <c r="AF62" s="152">
        <f t="shared" si="86"/>
        <v>0</v>
      </c>
      <c r="AG62" s="152">
        <f t="shared" si="87"/>
        <v>0</v>
      </c>
      <c r="AH62" s="152">
        <f t="shared" si="88"/>
        <v>0</v>
      </c>
      <c r="AI62" s="152">
        <f t="shared" si="89"/>
        <v>13604.583333333334</v>
      </c>
      <c r="AJ62" s="152">
        <f t="shared" si="90"/>
        <v>0</v>
      </c>
      <c r="AK62" s="152">
        <f t="shared" si="91"/>
        <v>13604.583333333334</v>
      </c>
      <c r="AL62" s="152">
        <f t="shared" si="92"/>
        <v>27209.166666666668</v>
      </c>
      <c r="AM62" s="152">
        <f t="shared" si="93"/>
        <v>0</v>
      </c>
      <c r="AN62" s="152">
        <f t="shared" si="94"/>
        <v>27209.166666666668</v>
      </c>
      <c r="AO62" s="152">
        <f t="shared" si="95"/>
        <v>27209.166666666668</v>
      </c>
      <c r="AP62" s="152">
        <f t="shared" si="96"/>
        <v>54418.333333333336</v>
      </c>
      <c r="AQ62" s="155"/>
      <c r="AR62" s="152">
        <f t="shared" si="74"/>
        <v>0</v>
      </c>
      <c r="AS62" s="155"/>
      <c r="AT62" s="152">
        <f t="shared" si="75"/>
        <v>0</v>
      </c>
      <c r="AU62" s="155"/>
      <c r="AV62" s="152">
        <f t="shared" si="76"/>
        <v>0</v>
      </c>
      <c r="AW62" s="155"/>
      <c r="AX62" s="152">
        <f t="shared" si="77"/>
        <v>0</v>
      </c>
      <c r="AY62" s="155"/>
      <c r="AZ62" s="152">
        <f t="shared" si="78"/>
        <v>0</v>
      </c>
      <c r="BA62" s="155"/>
      <c r="BB62" s="152">
        <f t="shared" si="79"/>
        <v>0</v>
      </c>
      <c r="BC62" s="155"/>
      <c r="BD62" s="152">
        <f t="shared" si="80"/>
        <v>0</v>
      </c>
      <c r="BE62" s="155">
        <v>8</v>
      </c>
      <c r="BF62" s="152">
        <f t="shared" si="81"/>
        <v>1573.0666666666666</v>
      </c>
      <c r="BG62" s="155"/>
      <c r="BH62" s="152">
        <f t="shared" si="82"/>
        <v>0</v>
      </c>
      <c r="BI62" s="155"/>
      <c r="BJ62" s="152">
        <f t="shared" si="83"/>
        <v>0</v>
      </c>
      <c r="BK62" s="155"/>
      <c r="BL62" s="152">
        <f t="shared" si="84"/>
        <v>0</v>
      </c>
      <c r="BM62" s="155"/>
      <c r="BN62" s="152">
        <f t="shared" si="85"/>
        <v>0</v>
      </c>
      <c r="BO62" s="156"/>
      <c r="BP62" s="152">
        <f t="shared" si="45"/>
        <v>0</v>
      </c>
      <c r="BQ62" s="156"/>
      <c r="BR62" s="152">
        <f t="shared" si="46"/>
        <v>0</v>
      </c>
      <c r="BS62" s="155"/>
      <c r="BT62" s="152">
        <f t="shared" si="55"/>
        <v>0</v>
      </c>
      <c r="BU62" s="155"/>
      <c r="BV62" s="152">
        <f t="shared" si="56"/>
        <v>0</v>
      </c>
      <c r="BW62" s="151"/>
      <c r="BX62" s="152">
        <f t="shared" si="57"/>
        <v>0</v>
      </c>
      <c r="BY62" s="157"/>
      <c r="BZ62" s="152">
        <f t="shared" si="47"/>
        <v>0</v>
      </c>
      <c r="CA62" s="157"/>
      <c r="CB62" s="152">
        <f t="shared" si="48"/>
        <v>0</v>
      </c>
      <c r="CC62" s="158"/>
      <c r="CD62" s="152">
        <f t="shared" si="49"/>
        <v>0</v>
      </c>
      <c r="CE62" s="155">
        <f t="shared" si="50"/>
        <v>8</v>
      </c>
      <c r="CF62" s="152">
        <f t="shared" si="51"/>
        <v>16325.5</v>
      </c>
      <c r="CG62" s="152"/>
      <c r="CH62" s="152">
        <f t="shared" si="52"/>
        <v>5441.8333333333339</v>
      </c>
      <c r="CI62" s="152"/>
      <c r="CJ62" s="159">
        <f t="shared" si="53"/>
        <v>7014.9000000000005</v>
      </c>
      <c r="CK62" s="152">
        <f t="shared" si="25"/>
        <v>61433.233333333337</v>
      </c>
      <c r="CL62" s="160">
        <f t="shared" si="54"/>
        <v>77758.733333333337</v>
      </c>
    </row>
    <row r="63" spans="1:90" x14ac:dyDescent="0.25">
      <c r="F63" s="91"/>
    </row>
    <row r="69" spans="1:90" ht="15.75" x14ac:dyDescent="0.25">
      <c r="B69" s="261" t="s">
        <v>138</v>
      </c>
      <c r="C69" s="261"/>
      <c r="D69" s="261"/>
      <c r="E69" s="261"/>
      <c r="F69" s="261"/>
      <c r="G69" s="261"/>
    </row>
    <row r="71" spans="1:90" s="62" customFormat="1" x14ac:dyDescent="0.25">
      <c r="A71" s="82"/>
      <c r="B71" s="79" t="s">
        <v>130</v>
      </c>
      <c r="C71" s="79" t="s">
        <v>131</v>
      </c>
      <c r="D71" s="75" t="s">
        <v>77</v>
      </c>
      <c r="E71" s="144">
        <v>3.04</v>
      </c>
      <c r="F71" s="143" t="s">
        <v>94</v>
      </c>
      <c r="G71" s="145">
        <f>6.885*17697</f>
        <v>121843.845</v>
      </c>
      <c r="H71" s="81">
        <f t="shared" ref="H71" si="152">G71*1.25</f>
        <v>152304.80624999999</v>
      </c>
      <c r="I71" s="69"/>
      <c r="J71" s="69"/>
      <c r="K71" s="69">
        <v>2</v>
      </c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109">
        <f t="shared" ref="W71" si="153">M71+O71+Q71+S71+U71</f>
        <v>0</v>
      </c>
      <c r="X71" s="109">
        <f t="shared" ref="X71" si="154">N71+P71+R71+T71+V71</f>
        <v>0</v>
      </c>
      <c r="Y71" s="69"/>
      <c r="Z71" s="69"/>
      <c r="AA71" s="69"/>
      <c r="AB71" s="69"/>
      <c r="AC71" s="109">
        <f t="shared" ref="AC71" si="155">Y71+AA71</f>
        <v>0</v>
      </c>
      <c r="AD71" s="109">
        <f t="shared" ref="AD71" si="156">Z71+AB71</f>
        <v>0</v>
      </c>
      <c r="AE71" s="81">
        <f t="shared" ref="AE71" si="157">H71/24*I71</f>
        <v>0</v>
      </c>
      <c r="AF71" s="81">
        <f t="shared" ref="AF71" si="158">H71/18*(K71+L71)</f>
        <v>16922.756249999999</v>
      </c>
      <c r="AG71" s="81">
        <f t="shared" ref="AG71" si="159">H71/18*(M71+N71)</f>
        <v>0</v>
      </c>
      <c r="AH71" s="81">
        <f t="shared" ref="AH71" si="160">H71/18*(O71+P71)</f>
        <v>0</v>
      </c>
      <c r="AI71" s="81">
        <f t="shared" ref="AI71" si="161">H71/18*(Q71+R71)</f>
        <v>0</v>
      </c>
      <c r="AJ71" s="81">
        <f t="shared" ref="AJ71" si="162">H71/18*(S71+T71)</f>
        <v>0</v>
      </c>
      <c r="AK71" s="81">
        <f t="shared" ref="AK71" si="163">H71/18*(U71+V71)</f>
        <v>0</v>
      </c>
      <c r="AL71" s="81">
        <f t="shared" ref="AL71" si="164">SUM(AG71:AK71)</f>
        <v>0</v>
      </c>
      <c r="AM71" s="81">
        <f t="shared" ref="AM71" si="165">H71/18*(Y71+Z71)</f>
        <v>0</v>
      </c>
      <c r="AN71" s="81">
        <f t="shared" ref="AN71" si="166">H71/18*(AA71+AB71)</f>
        <v>0</v>
      </c>
      <c r="AO71" s="81">
        <f t="shared" ref="AO71" si="167">AM71+AN71</f>
        <v>0</v>
      </c>
      <c r="AP71" s="81">
        <f t="shared" ref="AP71" si="168">AE71+AF71+AL71+AO71</f>
        <v>16922.756249999999</v>
      </c>
      <c r="AQ71" s="69"/>
      <c r="AR71" s="81">
        <f t="shared" ref="AR71" si="169">(17697*50/100)/18*AQ71</f>
        <v>0</v>
      </c>
      <c r="AS71" s="69"/>
      <c r="AT71" s="81">
        <f t="shared" ref="AT71" si="170">(17697*25/100)/18*AS71</f>
        <v>0</v>
      </c>
      <c r="AU71" s="69"/>
      <c r="AV71" s="81">
        <f t="shared" ref="AV71" si="171">(17697*40/100)/18*AU71</f>
        <v>0</v>
      </c>
      <c r="AW71" s="69"/>
      <c r="AX71" s="81">
        <f t="shared" ref="AX71" si="172">(17697*20/100)/18*AW71</f>
        <v>0</v>
      </c>
      <c r="AY71" s="69"/>
      <c r="AZ71" s="81">
        <f t="shared" ref="AZ71" si="173">(17697*50/100)/18*AY71</f>
        <v>0</v>
      </c>
      <c r="BA71" s="69"/>
      <c r="BB71" s="81">
        <f t="shared" ref="BB71" si="174">(17697*25/100)/18*BA71</f>
        <v>0</v>
      </c>
      <c r="BC71" s="69"/>
      <c r="BD71" s="81">
        <f t="shared" ref="BD71" si="175">(17697*40/100)/18*BC71</f>
        <v>0</v>
      </c>
      <c r="BE71" s="69"/>
      <c r="BF71" s="81">
        <f t="shared" ref="BF71" si="176">(17697*20/100)/18*BE71</f>
        <v>0</v>
      </c>
      <c r="BG71" s="69"/>
      <c r="BH71" s="81">
        <f t="shared" ref="BH71" si="177">(17697*50/100)/18*BG71</f>
        <v>0</v>
      </c>
      <c r="BI71" s="69"/>
      <c r="BJ71" s="81">
        <f t="shared" ref="BJ71" si="178">(17697*25/100)/18*BI71</f>
        <v>0</v>
      </c>
      <c r="BK71" s="69"/>
      <c r="BL71" s="81">
        <f t="shared" ref="BL71" si="179">(17697*40/100)/18*BK71</f>
        <v>0</v>
      </c>
      <c r="BM71" s="69"/>
      <c r="BN71" s="81">
        <f t="shared" ref="BN71" si="180">(17697*20/100)/18*BM71</f>
        <v>0</v>
      </c>
      <c r="BO71" s="108"/>
      <c r="BP71" s="81">
        <f t="shared" ref="BP71" si="181">(17697*60/100)*BO71</f>
        <v>0</v>
      </c>
      <c r="BQ71" s="58"/>
      <c r="BR71" s="49">
        <f t="shared" ref="BR71" si="182">(17697*50/100)*BQ71</f>
        <v>0</v>
      </c>
      <c r="BS71" s="57"/>
      <c r="BT71" s="49"/>
      <c r="BU71" s="57"/>
      <c r="BV71" s="49"/>
      <c r="BW71" s="56"/>
      <c r="BX71" s="49"/>
      <c r="BY71" s="59"/>
      <c r="BZ71" s="49">
        <f t="shared" ref="BZ71" si="183">H71*0.3/18*BY71</f>
        <v>0</v>
      </c>
      <c r="CA71" s="59"/>
      <c r="CB71" s="49">
        <f t="shared" ref="CB71" si="184">H71*0.35/18*CA71</f>
        <v>0</v>
      </c>
      <c r="CC71" s="60"/>
      <c r="CD71" s="49">
        <f t="shared" ref="CD71" si="185">H71*0.4/18*CC71</f>
        <v>0</v>
      </c>
      <c r="CE71" s="83">
        <v>0</v>
      </c>
      <c r="CF71" s="49">
        <f t="shared" ref="CF71" si="186">H71*0.3/18*CE71</f>
        <v>0</v>
      </c>
      <c r="CG71" s="49"/>
      <c r="CH71" s="49">
        <v>0</v>
      </c>
      <c r="CI71" s="49"/>
      <c r="CJ71" s="61">
        <f t="shared" ref="CJ71" si="187">AR71+AT71+AV71+AX71+AZ71+BB71+BD71+BF71+BH71+BJ71+BL71+BN71+BP71+BR71+BT71+BV71+BX71+CG71+CH71+CI71</f>
        <v>0</v>
      </c>
      <c r="CK71" s="49">
        <f t="shared" ref="CK71" si="188">AP71+CJ71</f>
        <v>16922.756249999999</v>
      </c>
      <c r="CL71" s="106">
        <f t="shared" ref="CL71" si="189">CK71++CF71+CD71+CB71+BZ71</f>
        <v>16922.756249999999</v>
      </c>
    </row>
    <row r="74" spans="1:90" ht="15.75" x14ac:dyDescent="0.25">
      <c r="A74" s="122"/>
      <c r="B74" s="122" t="s">
        <v>150</v>
      </c>
      <c r="C74" s="122"/>
      <c r="D74" s="123"/>
      <c r="E74" s="123"/>
      <c r="F74" s="124" t="s">
        <v>152</v>
      </c>
      <c r="G74" s="123"/>
      <c r="H74" s="123"/>
      <c r="I74" s="123"/>
    </row>
    <row r="75" spans="1:90" ht="15.75" x14ac:dyDescent="0.25">
      <c r="A75" s="122"/>
      <c r="B75" s="122"/>
      <c r="C75" s="122"/>
      <c r="D75" s="123"/>
      <c r="E75" s="123"/>
      <c r="F75" s="123"/>
      <c r="G75" s="123"/>
      <c r="H75" s="123"/>
      <c r="I75" s="123"/>
    </row>
    <row r="76" spans="1:90" ht="15.75" x14ac:dyDescent="0.25">
      <c r="A76" s="122"/>
      <c r="B76" s="122" t="s">
        <v>120</v>
      </c>
      <c r="C76" s="122"/>
      <c r="D76" s="122"/>
      <c r="E76" s="122"/>
      <c r="F76" s="122" t="s">
        <v>121</v>
      </c>
      <c r="G76" s="122"/>
      <c r="H76" s="122"/>
      <c r="I76" s="122"/>
    </row>
  </sheetData>
  <mergeCells count="69">
    <mergeCell ref="AE21:AE22"/>
    <mergeCell ref="AF21:AF22"/>
    <mergeCell ref="AG21:AG22"/>
    <mergeCell ref="AH21:AH22"/>
    <mergeCell ref="BR21:BR22"/>
    <mergeCell ref="BP21:BP22"/>
    <mergeCell ref="BQ21:BQ22"/>
    <mergeCell ref="AY21:BF21"/>
    <mergeCell ref="BG21:BN21"/>
    <mergeCell ref="BO21:BO22"/>
    <mergeCell ref="B69:G69"/>
    <mergeCell ref="A24:B24"/>
    <mergeCell ref="BS21:BS22"/>
    <mergeCell ref="CI21:CI22"/>
    <mergeCell ref="CH21:CH22"/>
    <mergeCell ref="AI21:AI22"/>
    <mergeCell ref="AJ21:AJ22"/>
    <mergeCell ref="AK21:AK22"/>
    <mergeCell ref="AL21:AL22"/>
    <mergeCell ref="AM21:AM22"/>
    <mergeCell ref="CA21:CB21"/>
    <mergeCell ref="CC21:CD21"/>
    <mergeCell ref="CE21:CF21"/>
    <mergeCell ref="BW21:BX21"/>
    <mergeCell ref="BY21:BZ21"/>
    <mergeCell ref="AA21:AB21"/>
    <mergeCell ref="CJ20:CJ22"/>
    <mergeCell ref="CK20:CK22"/>
    <mergeCell ref="CL20:CL22"/>
    <mergeCell ref="I21:I22"/>
    <mergeCell ref="K21:L21"/>
    <mergeCell ref="M21:N21"/>
    <mergeCell ref="O21:P21"/>
    <mergeCell ref="Q21:R21"/>
    <mergeCell ref="S21:T21"/>
    <mergeCell ref="U21:V21"/>
    <mergeCell ref="AE20:AO20"/>
    <mergeCell ref="AP20:AP22"/>
    <mergeCell ref="AQ20:BN20"/>
    <mergeCell ref="BO20:BR20"/>
    <mergeCell ref="BS20:BV20"/>
    <mergeCell ref="BV21:BV22"/>
    <mergeCell ref="A20:A22"/>
    <mergeCell ref="B20:B22"/>
    <mergeCell ref="C20:C22"/>
    <mergeCell ref="D20:D22"/>
    <mergeCell ref="E20:E22"/>
    <mergeCell ref="J21:J22"/>
    <mergeCell ref="B61:B62"/>
    <mergeCell ref="BW20:CI20"/>
    <mergeCell ref="C9:K9"/>
    <mergeCell ref="F20:F22"/>
    <mergeCell ref="G20:G22"/>
    <mergeCell ref="H20:H22"/>
    <mergeCell ref="I20:AD20"/>
    <mergeCell ref="AO21:AO22"/>
    <mergeCell ref="AQ21:AX21"/>
    <mergeCell ref="W21:X21"/>
    <mergeCell ref="Y21:Z21"/>
    <mergeCell ref="BT21:BT22"/>
    <mergeCell ref="BU21:BU22"/>
    <mergeCell ref="AN21:AN22"/>
    <mergeCell ref="AC21:AD21"/>
    <mergeCell ref="C13:O13"/>
    <mergeCell ref="D1:I1"/>
    <mergeCell ref="L1:M1"/>
    <mergeCell ref="L2:N2"/>
    <mergeCell ref="C4:J4"/>
    <mergeCell ref="L5:M5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  <rowBreaks count="1" manualBreakCount="1">
    <brk id="44" max="89" man="1"/>
  </rowBreaks>
  <colBreaks count="2" manualBreakCount="2">
    <brk id="30" max="1048575" man="1"/>
    <brk id="5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70"/>
  <sheetViews>
    <sheetView view="pageBreakPreview" topLeftCell="B1" zoomScale="20" zoomScaleNormal="40" zoomScaleSheetLayoutView="20" workbookViewId="0">
      <selection activeCell="T58" sqref="T58"/>
    </sheetView>
  </sheetViews>
  <sheetFormatPr defaultRowHeight="15" x14ac:dyDescent="0.25"/>
  <cols>
    <col min="1" max="1" width="3" customWidth="1"/>
    <col min="2" max="2" width="25.7109375" customWidth="1"/>
    <col min="3" max="3" width="14.85546875" customWidth="1"/>
    <col min="4" max="4" width="8.5703125" customWidth="1"/>
    <col min="5" max="5" width="5.7109375" customWidth="1"/>
    <col min="6" max="6" width="8.7109375" customWidth="1"/>
    <col min="7" max="7" width="7" customWidth="1"/>
    <col min="8" max="8" width="7.7109375" customWidth="1"/>
    <col min="9" max="16" width="5.7109375" customWidth="1"/>
    <col min="17" max="17" width="10.140625" customWidth="1"/>
    <col min="18" max="24" width="5.7109375" customWidth="1"/>
    <col min="25" max="25" width="7.28515625" customWidth="1"/>
    <col min="26" max="30" width="5.7109375" customWidth="1"/>
    <col min="31" max="31" width="10.5703125" customWidth="1"/>
    <col min="32" max="32" width="11" customWidth="1"/>
    <col min="33" max="33" width="8.7109375" customWidth="1"/>
    <col min="34" max="34" width="9" customWidth="1"/>
    <col min="35" max="35" width="9.42578125" customWidth="1"/>
    <col min="36" max="36" width="9.28515625" customWidth="1"/>
    <col min="37" max="37" width="8.7109375" customWidth="1"/>
    <col min="38" max="38" width="9" customWidth="1"/>
    <col min="39" max="39" width="9.7109375" customWidth="1"/>
    <col min="40" max="40" width="8.7109375" customWidth="1"/>
    <col min="42" max="42" width="10.28515625" customWidth="1"/>
    <col min="43" max="43" width="5.7109375" customWidth="1"/>
    <col min="44" max="44" width="7.28515625" customWidth="1"/>
    <col min="45" max="45" width="5.7109375" customWidth="1"/>
    <col min="46" max="46" width="7" customWidth="1"/>
    <col min="47" max="47" width="5.7109375" customWidth="1"/>
    <col min="48" max="48" width="7.5703125" customWidth="1"/>
    <col min="49" max="49" width="5.7109375" customWidth="1"/>
    <col min="50" max="50" width="8.5703125" customWidth="1"/>
    <col min="51" max="51" width="5.7109375" customWidth="1"/>
    <col min="52" max="52" width="7.7109375" customWidth="1"/>
    <col min="53" max="53" width="5.7109375" customWidth="1"/>
    <col min="54" max="54" width="8.28515625" customWidth="1"/>
    <col min="55" max="55" width="5.7109375" customWidth="1"/>
    <col min="56" max="56" width="6.85546875" customWidth="1"/>
    <col min="57" max="57" width="5.7109375" customWidth="1"/>
    <col min="58" max="58" width="7.5703125" customWidth="1"/>
    <col min="59" max="59" width="5.7109375" customWidth="1"/>
    <col min="60" max="60" width="7.140625" customWidth="1"/>
    <col min="61" max="61" width="5.7109375" customWidth="1"/>
    <col min="62" max="62" width="7.42578125" customWidth="1"/>
    <col min="63" max="63" width="5.7109375" customWidth="1"/>
    <col min="64" max="64" width="7.28515625" customWidth="1"/>
    <col min="65" max="65" width="5.7109375" customWidth="1"/>
    <col min="66" max="66" width="7.42578125" customWidth="1"/>
    <col min="67" max="68" width="7.85546875" customWidth="1"/>
    <col min="69" max="69" width="5.7109375" customWidth="1"/>
    <col min="70" max="70" width="8" customWidth="1"/>
    <col min="71" max="71" width="5.7109375" customWidth="1"/>
    <col min="72" max="72" width="6.85546875" customWidth="1"/>
    <col min="73" max="73" width="5.7109375" customWidth="1"/>
    <col min="74" max="74" width="7.85546875" customWidth="1"/>
    <col min="75" max="75" width="5.7109375" customWidth="1"/>
    <col min="76" max="76" width="8" customWidth="1"/>
    <col min="77" max="77" width="5.7109375" customWidth="1"/>
    <col min="78" max="78" width="8.85546875" customWidth="1"/>
    <col min="79" max="79" width="5.7109375" customWidth="1"/>
    <col min="80" max="80" width="7.42578125" customWidth="1"/>
    <col min="81" max="81" width="7" customWidth="1"/>
    <col min="82" max="82" width="11.28515625" customWidth="1"/>
    <col min="83" max="83" width="7" customWidth="1"/>
    <col min="84" max="84" width="10" customWidth="1"/>
    <col min="85" max="85" width="8" customWidth="1"/>
    <col min="86" max="86" width="9.7109375" customWidth="1"/>
    <col min="87" max="87" width="8.5703125" customWidth="1"/>
    <col min="88" max="88" width="10.5703125" customWidth="1"/>
    <col min="89" max="90" width="11.28515625" customWidth="1"/>
  </cols>
  <sheetData>
    <row r="1" spans="1:29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3" t="s">
        <v>1</v>
      </c>
      <c r="O1" s="3"/>
      <c r="P1" s="3"/>
      <c r="Q1" s="3"/>
      <c r="R1" s="4">
        <v>0</v>
      </c>
      <c r="S1" s="4" t="s">
        <v>2</v>
      </c>
      <c r="T1" s="5" t="s">
        <v>3</v>
      </c>
      <c r="U1" s="4" t="s">
        <v>4</v>
      </c>
      <c r="V1" s="4"/>
      <c r="W1" s="4" t="s">
        <v>5</v>
      </c>
      <c r="AC1" s="1"/>
    </row>
    <row r="2" spans="1:29" ht="16.5" thickBot="1" x14ac:dyDescent="0.3">
      <c r="A2" s="1"/>
      <c r="B2" s="1"/>
      <c r="C2" s="1"/>
      <c r="D2" s="1"/>
      <c r="E2" s="6"/>
      <c r="F2" s="7"/>
      <c r="G2" s="7"/>
      <c r="H2" s="6"/>
      <c r="I2" s="6"/>
      <c r="J2" s="6"/>
      <c r="K2" s="6"/>
      <c r="L2" s="6"/>
      <c r="M2" s="8" t="s">
        <v>6</v>
      </c>
      <c r="N2" s="9" t="s">
        <v>7</v>
      </c>
      <c r="O2" s="10"/>
      <c r="P2" s="10"/>
      <c r="Q2" s="10"/>
      <c r="R2" s="11"/>
      <c r="S2" s="11"/>
      <c r="T2" s="11"/>
      <c r="U2" s="12"/>
      <c r="V2" s="12"/>
      <c r="W2" s="13">
        <f>S2+T2+U2</f>
        <v>0</v>
      </c>
      <c r="AC2" s="1"/>
    </row>
    <row r="3" spans="1:29" ht="16.5" thickBot="1" x14ac:dyDescent="0.3">
      <c r="A3" s="1"/>
      <c r="B3" s="1"/>
      <c r="C3" s="1"/>
      <c r="D3" s="14"/>
      <c r="E3" s="15"/>
      <c r="F3" s="7" t="s">
        <v>8</v>
      </c>
      <c r="G3" s="15"/>
      <c r="H3" s="15"/>
      <c r="I3" s="15"/>
      <c r="J3" s="15"/>
      <c r="K3" s="15"/>
      <c r="L3" s="15"/>
      <c r="M3" s="8" t="s">
        <v>9</v>
      </c>
      <c r="N3" s="16" t="s">
        <v>10</v>
      </c>
      <c r="O3" s="17"/>
      <c r="P3" s="17"/>
      <c r="Q3" s="17"/>
      <c r="R3" s="18"/>
      <c r="S3" s="18"/>
      <c r="T3" s="18"/>
      <c r="U3" s="19"/>
      <c r="V3" s="19"/>
      <c r="W3" s="13">
        <f t="shared" ref="W3:W18" si="0">S3+T3+U3</f>
        <v>0</v>
      </c>
      <c r="AC3" s="1"/>
    </row>
    <row r="4" spans="1:29" ht="16.5" thickBot="1" x14ac:dyDescent="0.3">
      <c r="A4" s="1"/>
      <c r="B4" s="1"/>
      <c r="C4" s="1"/>
      <c r="D4" s="1"/>
      <c r="E4" s="15"/>
      <c r="F4" s="7" t="s">
        <v>79</v>
      </c>
      <c r="G4" s="7"/>
      <c r="H4" s="15"/>
      <c r="I4" s="15"/>
      <c r="J4" s="15"/>
      <c r="K4" s="15"/>
      <c r="L4" s="15"/>
      <c r="M4" s="8" t="s">
        <v>11</v>
      </c>
      <c r="N4" s="16" t="s">
        <v>12</v>
      </c>
      <c r="O4" s="17"/>
      <c r="P4" s="17"/>
      <c r="Q4" s="17"/>
      <c r="R4" s="20"/>
      <c r="S4" s="20"/>
      <c r="T4" s="20"/>
      <c r="U4" s="21"/>
      <c r="V4" s="21"/>
      <c r="W4" s="13">
        <f t="shared" si="0"/>
        <v>0</v>
      </c>
      <c r="AC4" s="1"/>
    </row>
    <row r="5" spans="1:29" ht="16.5" thickBot="1" x14ac:dyDescent="0.3">
      <c r="A5" s="1"/>
      <c r="B5" s="1"/>
      <c r="C5" s="1"/>
      <c r="D5" s="15"/>
      <c r="E5" s="15"/>
      <c r="F5" s="7"/>
      <c r="G5" s="7"/>
      <c r="H5" s="15"/>
      <c r="I5" s="15"/>
      <c r="J5" s="15"/>
      <c r="K5" s="15"/>
      <c r="L5" s="15"/>
      <c r="M5" s="8" t="s">
        <v>13</v>
      </c>
      <c r="N5" s="16" t="s">
        <v>14</v>
      </c>
      <c r="O5" s="17"/>
      <c r="P5" s="17"/>
      <c r="Q5" s="17"/>
      <c r="R5" s="20"/>
      <c r="S5" s="20"/>
      <c r="T5" s="20"/>
      <c r="U5" s="20"/>
      <c r="V5" s="21"/>
      <c r="W5" s="13">
        <f t="shared" si="0"/>
        <v>0</v>
      </c>
      <c r="AC5" s="1"/>
    </row>
    <row r="6" spans="1:29" ht="16.5" thickBot="1" x14ac:dyDescent="0.3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8"/>
      <c r="N6" s="9" t="s">
        <v>15</v>
      </c>
      <c r="O6" s="10"/>
      <c r="P6" s="10"/>
      <c r="Q6" s="10"/>
      <c r="R6" s="11"/>
      <c r="S6" s="11"/>
      <c r="T6" s="11"/>
      <c r="U6" s="11"/>
      <c r="V6" s="12"/>
      <c r="W6" s="13">
        <f>S6+T6+U6</f>
        <v>0</v>
      </c>
      <c r="AC6" s="1"/>
    </row>
    <row r="7" spans="1:29" ht="21.75" thickBot="1" x14ac:dyDescent="0.4">
      <c r="A7" s="1"/>
      <c r="B7" s="1"/>
      <c r="C7" s="1"/>
      <c r="D7" s="1"/>
      <c r="E7" s="1"/>
      <c r="F7" s="22" t="s">
        <v>16</v>
      </c>
      <c r="G7" s="22"/>
      <c r="H7" s="1"/>
      <c r="I7" s="1"/>
      <c r="J7" s="1"/>
      <c r="K7" s="1"/>
      <c r="L7" s="1"/>
      <c r="M7" s="8" t="s">
        <v>17</v>
      </c>
      <c r="N7" s="16" t="s">
        <v>18</v>
      </c>
      <c r="O7" s="17"/>
      <c r="P7" s="17"/>
      <c r="Q7" s="17"/>
      <c r="R7" s="11"/>
      <c r="S7" s="11"/>
      <c r="T7" s="11"/>
      <c r="U7" s="12"/>
      <c r="V7" s="12"/>
      <c r="W7" s="13">
        <v>278.75</v>
      </c>
      <c r="AC7" s="1"/>
    </row>
    <row r="8" spans="1:29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8" t="s">
        <v>19</v>
      </c>
      <c r="N8" s="16" t="s">
        <v>20</v>
      </c>
      <c r="O8" s="17"/>
      <c r="P8" s="17"/>
      <c r="Q8" s="17"/>
      <c r="R8" s="18"/>
      <c r="S8" s="18"/>
      <c r="T8" s="18"/>
      <c r="U8" s="19"/>
      <c r="V8" s="19"/>
      <c r="W8" s="13">
        <f t="shared" si="0"/>
        <v>0</v>
      </c>
      <c r="AC8" s="1"/>
    </row>
    <row r="9" spans="1:29" ht="19.5" thickBot="1" x14ac:dyDescent="0.35">
      <c r="A9" s="1"/>
      <c r="B9" s="1"/>
      <c r="C9" s="212" t="s">
        <v>134</v>
      </c>
      <c r="D9" s="212"/>
      <c r="E9" s="212"/>
      <c r="F9" s="212"/>
      <c r="G9" s="212"/>
      <c r="H9" s="212"/>
      <c r="I9" s="212"/>
      <c r="J9" s="212"/>
      <c r="K9" s="212"/>
      <c r="L9" s="6"/>
      <c r="M9" s="8"/>
      <c r="N9" s="16" t="s">
        <v>21</v>
      </c>
      <c r="O9" s="17"/>
      <c r="P9" s="17"/>
      <c r="Q9" s="17"/>
      <c r="R9" s="18"/>
      <c r="S9" s="18"/>
      <c r="T9" s="18"/>
      <c r="U9" s="19"/>
      <c r="V9" s="19"/>
      <c r="W9" s="13">
        <f t="shared" si="0"/>
        <v>0</v>
      </c>
      <c r="AC9" s="1"/>
    </row>
    <row r="10" spans="1:29" ht="16.5" thickBot="1" x14ac:dyDescent="0.3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8"/>
      <c r="N10" s="16" t="s">
        <v>22</v>
      </c>
      <c r="O10" s="17"/>
      <c r="P10" s="17"/>
      <c r="Q10" s="17"/>
      <c r="R10" s="18"/>
      <c r="S10" s="18"/>
      <c r="T10" s="18"/>
      <c r="U10" s="19"/>
      <c r="V10" s="19"/>
      <c r="W10" s="13">
        <f t="shared" si="0"/>
        <v>0</v>
      </c>
      <c r="AC10" s="1"/>
    </row>
    <row r="11" spans="1:29" ht="16.5" thickBot="1" x14ac:dyDescent="0.3">
      <c r="A11" s="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8"/>
      <c r="N11" s="16" t="s">
        <v>23</v>
      </c>
      <c r="O11" s="17"/>
      <c r="P11" s="17"/>
      <c r="Q11" s="17"/>
      <c r="R11" s="18"/>
      <c r="S11" s="18"/>
      <c r="T11" s="18"/>
      <c r="U11" s="19"/>
      <c r="V11" s="19"/>
      <c r="W11" s="13">
        <f t="shared" si="0"/>
        <v>0</v>
      </c>
      <c r="AC11" s="1"/>
    </row>
    <row r="12" spans="1:29" ht="16.5" thickBot="1" x14ac:dyDescent="0.3">
      <c r="A12" s="1"/>
      <c r="B12" s="6"/>
      <c r="C12" s="6"/>
      <c r="D12" s="6"/>
      <c r="E12" s="6"/>
      <c r="F12" s="23"/>
      <c r="G12" s="23"/>
      <c r="H12" s="6"/>
      <c r="I12" s="6"/>
      <c r="J12" s="6"/>
      <c r="K12" s="6"/>
      <c r="L12" s="6"/>
      <c r="M12" s="8"/>
      <c r="N12" s="16" t="s">
        <v>24</v>
      </c>
      <c r="O12" s="17"/>
      <c r="P12" s="17"/>
      <c r="Q12" s="17"/>
      <c r="R12" s="18"/>
      <c r="S12" s="18"/>
      <c r="T12" s="18"/>
      <c r="U12" s="19"/>
      <c r="V12" s="19"/>
      <c r="W12" s="13">
        <f t="shared" si="0"/>
        <v>0</v>
      </c>
      <c r="AC12" s="1"/>
    </row>
    <row r="13" spans="1:29" ht="19.5" thickBot="1" x14ac:dyDescent="0.35">
      <c r="A13" s="1"/>
      <c r="B13" s="24" t="s">
        <v>25</v>
      </c>
      <c r="C13" s="25" t="s">
        <v>80</v>
      </c>
      <c r="D13" s="25"/>
      <c r="E13" s="25"/>
      <c r="F13" s="25"/>
      <c r="G13" s="25"/>
      <c r="H13" s="25"/>
      <c r="I13" s="25"/>
      <c r="J13" s="25"/>
      <c r="K13" s="25"/>
      <c r="L13" s="25"/>
      <c r="M13" s="8"/>
      <c r="N13" s="16" t="s">
        <v>26</v>
      </c>
      <c r="O13" s="17"/>
      <c r="P13" s="17"/>
      <c r="Q13" s="17"/>
      <c r="R13" s="18"/>
      <c r="S13" s="18"/>
      <c r="T13" s="18"/>
      <c r="U13" s="19"/>
      <c r="V13" s="19"/>
      <c r="W13" s="13">
        <f t="shared" si="0"/>
        <v>0</v>
      </c>
      <c r="AC13" s="1"/>
    </row>
    <row r="14" spans="1:29" ht="16.5" thickBot="1" x14ac:dyDescent="0.3">
      <c r="A14" s="1"/>
      <c r="B14" s="6"/>
      <c r="C14" s="6"/>
      <c r="D14" s="6"/>
      <c r="E14" s="6"/>
      <c r="F14" s="23"/>
      <c r="G14" s="23"/>
      <c r="H14" s="6"/>
      <c r="I14" s="6"/>
      <c r="J14" s="6"/>
      <c r="K14" s="6"/>
      <c r="L14" s="6"/>
      <c r="M14" s="8"/>
      <c r="N14" s="16" t="s">
        <v>27</v>
      </c>
      <c r="O14" s="17"/>
      <c r="P14" s="17"/>
      <c r="Q14" s="17"/>
      <c r="R14" s="18"/>
      <c r="S14" s="18"/>
      <c r="T14" s="18"/>
      <c r="U14" s="19"/>
      <c r="V14" s="19"/>
      <c r="W14" s="13">
        <f t="shared" si="0"/>
        <v>0</v>
      </c>
      <c r="AC14" s="1"/>
    </row>
    <row r="15" spans="1:29" ht="19.5" thickBot="1" x14ac:dyDescent="0.35">
      <c r="A15" s="1"/>
      <c r="B15" s="25" t="s">
        <v>81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8"/>
      <c r="N15" s="16" t="s">
        <v>28</v>
      </c>
      <c r="O15" s="17"/>
      <c r="P15" s="17"/>
      <c r="Q15" s="17"/>
      <c r="R15" s="20"/>
      <c r="S15" s="20"/>
      <c r="T15" s="20"/>
      <c r="U15" s="21"/>
      <c r="V15" s="21"/>
      <c r="W15" s="13">
        <f t="shared" si="0"/>
        <v>0</v>
      </c>
      <c r="AC15" s="1"/>
    </row>
    <row r="16" spans="1:29" ht="16.5" thickBot="1" x14ac:dyDescent="0.3">
      <c r="A16" s="1"/>
      <c r="B16" s="6"/>
      <c r="C16" s="1"/>
      <c r="D16" s="1"/>
      <c r="E16" s="1" t="s">
        <v>29</v>
      </c>
      <c r="F16" s="26"/>
      <c r="G16" s="26"/>
      <c r="H16" s="1"/>
      <c r="I16" s="1"/>
      <c r="J16" s="1"/>
      <c r="K16" s="1"/>
      <c r="L16" s="1"/>
      <c r="M16" s="8"/>
      <c r="N16" s="16" t="s">
        <v>30</v>
      </c>
      <c r="O16" s="17"/>
      <c r="P16" s="17"/>
      <c r="Q16" s="17"/>
      <c r="R16" s="20"/>
      <c r="S16" s="20"/>
      <c r="T16" s="20"/>
      <c r="U16" s="27"/>
      <c r="V16" s="28"/>
      <c r="W16" s="13">
        <f t="shared" si="0"/>
        <v>0</v>
      </c>
      <c r="Y16" s="77"/>
      <c r="AC16" s="1"/>
    </row>
    <row r="17" spans="1:90" ht="16.5" thickBot="1" x14ac:dyDescent="0.3">
      <c r="A17" s="1"/>
      <c r="B17" s="6"/>
      <c r="C17" s="1"/>
      <c r="D17" s="1"/>
      <c r="E17" s="1"/>
      <c r="F17" s="26"/>
      <c r="G17" s="26"/>
      <c r="H17" s="1"/>
      <c r="I17" s="1"/>
      <c r="J17" s="1"/>
      <c r="K17" s="1"/>
      <c r="L17" s="1"/>
      <c r="M17" s="8"/>
      <c r="N17" s="9" t="s">
        <v>76</v>
      </c>
      <c r="O17" s="10"/>
      <c r="P17" s="10"/>
      <c r="Q17" s="10"/>
      <c r="R17" s="43"/>
      <c r="S17" s="43"/>
      <c r="T17" s="43"/>
      <c r="U17" s="44"/>
      <c r="V17" s="45"/>
      <c r="W17" s="13"/>
      <c r="Y17" s="77"/>
      <c r="AC17" s="1"/>
      <c r="CD17" s="77"/>
    </row>
    <row r="18" spans="1:90" ht="16.5" thickBot="1" x14ac:dyDescent="0.3">
      <c r="A18" s="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29"/>
      <c r="N18" s="30" t="s">
        <v>31</v>
      </c>
      <c r="O18" s="31"/>
      <c r="P18" s="31"/>
      <c r="Q18" s="31"/>
      <c r="R18" s="32"/>
      <c r="S18" s="32"/>
      <c r="T18" s="32"/>
      <c r="U18" s="33"/>
      <c r="V18" s="34"/>
      <c r="W18" s="13">
        <f t="shared" si="0"/>
        <v>0</v>
      </c>
      <c r="Y18" s="77"/>
      <c r="AC18" s="1"/>
    </row>
    <row r="19" spans="1:90" ht="0.75" customHeight="1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90" ht="45.75" customHeight="1" thickBot="1" x14ac:dyDescent="0.3">
      <c r="A20" s="240" t="s">
        <v>0</v>
      </c>
      <c r="B20" s="240" t="s">
        <v>32</v>
      </c>
      <c r="C20" s="244" t="s">
        <v>33</v>
      </c>
      <c r="D20" s="216" t="s">
        <v>34</v>
      </c>
      <c r="E20" s="216" t="s">
        <v>35</v>
      </c>
      <c r="F20" s="213" t="s">
        <v>36</v>
      </c>
      <c r="G20" s="216" t="s">
        <v>37</v>
      </c>
      <c r="H20" s="216" t="s">
        <v>38</v>
      </c>
      <c r="I20" s="219" t="s">
        <v>39</v>
      </c>
      <c r="J20" s="220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2"/>
      <c r="AB20" s="222"/>
      <c r="AC20" s="221"/>
      <c r="AD20" s="223"/>
      <c r="AE20" s="219" t="s">
        <v>40</v>
      </c>
      <c r="AF20" s="221"/>
      <c r="AG20" s="221"/>
      <c r="AH20" s="221"/>
      <c r="AI20" s="221"/>
      <c r="AJ20" s="221"/>
      <c r="AK20" s="221"/>
      <c r="AL20" s="221"/>
      <c r="AM20" s="221"/>
      <c r="AN20" s="221"/>
      <c r="AO20" s="223"/>
      <c r="AP20" s="216" t="s">
        <v>41</v>
      </c>
      <c r="AQ20" s="255" t="s">
        <v>42</v>
      </c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7"/>
      <c r="BO20" s="219" t="s">
        <v>43</v>
      </c>
      <c r="BP20" s="258"/>
      <c r="BQ20" s="258"/>
      <c r="BR20" s="259"/>
      <c r="BS20" s="260" t="s">
        <v>44</v>
      </c>
      <c r="BT20" s="258"/>
      <c r="BU20" s="258"/>
      <c r="BV20" s="259"/>
      <c r="BW20" s="209" t="s">
        <v>45</v>
      </c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1"/>
      <c r="CJ20" s="249" t="s">
        <v>46</v>
      </c>
      <c r="CK20" s="249" t="s">
        <v>74</v>
      </c>
      <c r="CL20" s="209" t="s">
        <v>75</v>
      </c>
    </row>
    <row r="21" spans="1:90" ht="39.75" customHeight="1" thickBot="1" x14ac:dyDescent="0.3">
      <c r="A21" s="241"/>
      <c r="B21" s="241"/>
      <c r="C21" s="245"/>
      <c r="D21" s="247"/>
      <c r="E21" s="217"/>
      <c r="F21" s="214"/>
      <c r="G21" s="217"/>
      <c r="H21" s="217"/>
      <c r="I21" s="236" t="s">
        <v>47</v>
      </c>
      <c r="J21" s="206" t="s">
        <v>151</v>
      </c>
      <c r="K21" s="229" t="s">
        <v>48</v>
      </c>
      <c r="L21" s="230"/>
      <c r="M21" s="229" t="s">
        <v>49</v>
      </c>
      <c r="N21" s="230"/>
      <c r="O21" s="229" t="s">
        <v>50</v>
      </c>
      <c r="P21" s="230"/>
      <c r="Q21" s="229" t="s">
        <v>51</v>
      </c>
      <c r="R21" s="230"/>
      <c r="S21" s="229" t="s">
        <v>52</v>
      </c>
      <c r="T21" s="230"/>
      <c r="U21" s="229" t="s">
        <v>53</v>
      </c>
      <c r="V21" s="230"/>
      <c r="W21" s="229" t="s">
        <v>54</v>
      </c>
      <c r="X21" s="230"/>
      <c r="Y21" s="229" t="s">
        <v>55</v>
      </c>
      <c r="Z21" s="231"/>
      <c r="AA21" s="229" t="s">
        <v>56</v>
      </c>
      <c r="AB21" s="230"/>
      <c r="AC21" s="238" t="s">
        <v>57</v>
      </c>
      <c r="AD21" s="239"/>
      <c r="AE21" s="274" t="s">
        <v>47</v>
      </c>
      <c r="AF21" s="274" t="s">
        <v>48</v>
      </c>
      <c r="AG21" s="224" t="s">
        <v>49</v>
      </c>
      <c r="AH21" s="236" t="s">
        <v>50</v>
      </c>
      <c r="AI21" s="224" t="s">
        <v>51</v>
      </c>
      <c r="AJ21" s="236" t="s">
        <v>52</v>
      </c>
      <c r="AK21" s="224" t="s">
        <v>53</v>
      </c>
      <c r="AL21" s="236" t="s">
        <v>54</v>
      </c>
      <c r="AM21" s="224" t="s">
        <v>55</v>
      </c>
      <c r="AN21" s="236" t="s">
        <v>56</v>
      </c>
      <c r="AO21" s="224" t="s">
        <v>57</v>
      </c>
      <c r="AP21" s="217"/>
      <c r="AQ21" s="226" t="s">
        <v>58</v>
      </c>
      <c r="AR21" s="227"/>
      <c r="AS21" s="227"/>
      <c r="AT21" s="227"/>
      <c r="AU21" s="227"/>
      <c r="AV21" s="227"/>
      <c r="AW21" s="227"/>
      <c r="AX21" s="228"/>
      <c r="AY21" s="226" t="s">
        <v>59</v>
      </c>
      <c r="AZ21" s="227"/>
      <c r="BA21" s="227"/>
      <c r="BB21" s="227"/>
      <c r="BC21" s="227"/>
      <c r="BD21" s="227"/>
      <c r="BE21" s="227"/>
      <c r="BF21" s="228"/>
      <c r="BG21" s="226" t="s">
        <v>60</v>
      </c>
      <c r="BH21" s="227"/>
      <c r="BI21" s="227"/>
      <c r="BJ21" s="227"/>
      <c r="BK21" s="227"/>
      <c r="BL21" s="227"/>
      <c r="BM21" s="227"/>
      <c r="BN21" s="228"/>
      <c r="BO21" s="278" t="s">
        <v>61</v>
      </c>
      <c r="BP21" s="232" t="s">
        <v>136</v>
      </c>
      <c r="BQ21" s="278" t="s">
        <v>61</v>
      </c>
      <c r="BR21" s="275" t="s">
        <v>137</v>
      </c>
      <c r="BS21" s="234" t="s">
        <v>64</v>
      </c>
      <c r="BT21" s="232" t="s">
        <v>65</v>
      </c>
      <c r="BU21" s="234" t="s">
        <v>64</v>
      </c>
      <c r="BV21" s="232" t="s">
        <v>66</v>
      </c>
      <c r="BW21" s="219" t="s">
        <v>67</v>
      </c>
      <c r="BX21" s="259"/>
      <c r="BY21" s="271" t="s">
        <v>126</v>
      </c>
      <c r="BZ21" s="273"/>
      <c r="CA21" s="268" t="s">
        <v>124</v>
      </c>
      <c r="CB21" s="269"/>
      <c r="CC21" s="270" t="s">
        <v>122</v>
      </c>
      <c r="CD21" s="269"/>
      <c r="CE21" s="271" t="s">
        <v>114</v>
      </c>
      <c r="CF21" s="272"/>
      <c r="CG21" s="46"/>
      <c r="CH21" s="266" t="s">
        <v>78</v>
      </c>
      <c r="CI21" s="281" t="s">
        <v>149</v>
      </c>
      <c r="CJ21" s="250"/>
      <c r="CK21" s="250"/>
      <c r="CL21" s="252"/>
    </row>
    <row r="22" spans="1:90" ht="77.25" customHeight="1" thickBot="1" x14ac:dyDescent="0.3">
      <c r="A22" s="242"/>
      <c r="B22" s="243"/>
      <c r="C22" s="246"/>
      <c r="D22" s="248"/>
      <c r="E22" s="218"/>
      <c r="F22" s="215"/>
      <c r="G22" s="218"/>
      <c r="H22" s="218"/>
      <c r="I22" s="248"/>
      <c r="J22" s="207"/>
      <c r="K22" s="35" t="s">
        <v>68</v>
      </c>
      <c r="L22" s="35" t="s">
        <v>69</v>
      </c>
      <c r="M22" s="35" t="s">
        <v>68</v>
      </c>
      <c r="N22" s="35" t="s">
        <v>69</v>
      </c>
      <c r="O22" s="35" t="s">
        <v>68</v>
      </c>
      <c r="P22" s="35" t="s">
        <v>69</v>
      </c>
      <c r="Q22" s="35" t="s">
        <v>68</v>
      </c>
      <c r="R22" s="35" t="s">
        <v>69</v>
      </c>
      <c r="S22" s="35" t="s">
        <v>68</v>
      </c>
      <c r="T22" s="35" t="s">
        <v>69</v>
      </c>
      <c r="U22" s="35" t="s">
        <v>68</v>
      </c>
      <c r="V22" s="35" t="s">
        <v>69</v>
      </c>
      <c r="W22" s="35" t="s">
        <v>68</v>
      </c>
      <c r="X22" s="35" t="s">
        <v>69</v>
      </c>
      <c r="Y22" s="35" t="s">
        <v>68</v>
      </c>
      <c r="Z22" s="35" t="s">
        <v>69</v>
      </c>
      <c r="AA22" s="36" t="s">
        <v>68</v>
      </c>
      <c r="AB22" s="36" t="s">
        <v>69</v>
      </c>
      <c r="AC22" s="35" t="s">
        <v>68</v>
      </c>
      <c r="AD22" s="35" t="s">
        <v>69</v>
      </c>
      <c r="AE22" s="248"/>
      <c r="AF22" s="248"/>
      <c r="AG22" s="225"/>
      <c r="AH22" s="237"/>
      <c r="AI22" s="225"/>
      <c r="AJ22" s="237"/>
      <c r="AK22" s="225"/>
      <c r="AL22" s="248"/>
      <c r="AM22" s="225"/>
      <c r="AN22" s="237"/>
      <c r="AO22" s="225"/>
      <c r="AP22" s="254"/>
      <c r="AQ22" s="37" t="s">
        <v>70</v>
      </c>
      <c r="AR22" s="38" t="s">
        <v>135</v>
      </c>
      <c r="AS22" s="37" t="s">
        <v>70</v>
      </c>
      <c r="AT22" s="38" t="s">
        <v>63</v>
      </c>
      <c r="AU22" s="37" t="s">
        <v>70</v>
      </c>
      <c r="AV22" s="38" t="s">
        <v>123</v>
      </c>
      <c r="AW22" s="37" t="s">
        <v>70</v>
      </c>
      <c r="AX22" s="38" t="s">
        <v>71</v>
      </c>
      <c r="AY22" s="37" t="s">
        <v>70</v>
      </c>
      <c r="AZ22" s="38" t="s">
        <v>135</v>
      </c>
      <c r="BA22" s="37" t="s">
        <v>70</v>
      </c>
      <c r="BB22" s="38" t="s">
        <v>63</v>
      </c>
      <c r="BC22" s="37" t="s">
        <v>70</v>
      </c>
      <c r="BD22" s="38" t="s">
        <v>123</v>
      </c>
      <c r="BE22" s="37" t="s">
        <v>70</v>
      </c>
      <c r="BF22" s="38" t="s">
        <v>71</v>
      </c>
      <c r="BG22" s="37" t="s">
        <v>70</v>
      </c>
      <c r="BH22" s="38" t="s">
        <v>135</v>
      </c>
      <c r="BI22" s="37" t="s">
        <v>70</v>
      </c>
      <c r="BJ22" s="38" t="s">
        <v>63</v>
      </c>
      <c r="BK22" s="37" t="s">
        <v>70</v>
      </c>
      <c r="BL22" s="38" t="s">
        <v>123</v>
      </c>
      <c r="BM22" s="37" t="s">
        <v>70</v>
      </c>
      <c r="BN22" s="38" t="s">
        <v>71</v>
      </c>
      <c r="BO22" s="279"/>
      <c r="BP22" s="277"/>
      <c r="BQ22" s="279"/>
      <c r="BR22" s="276"/>
      <c r="BS22" s="235"/>
      <c r="BT22" s="233"/>
      <c r="BU22" s="235"/>
      <c r="BV22" s="233"/>
      <c r="BW22" s="39" t="s">
        <v>72</v>
      </c>
      <c r="BX22" s="40" t="s">
        <v>71</v>
      </c>
      <c r="BY22" s="89" t="s">
        <v>72</v>
      </c>
      <c r="BZ22" s="104" t="s">
        <v>62</v>
      </c>
      <c r="CA22" s="98" t="s">
        <v>72</v>
      </c>
      <c r="CB22" s="99" t="s">
        <v>125</v>
      </c>
      <c r="CC22" s="98" t="s">
        <v>72</v>
      </c>
      <c r="CD22" s="99" t="s">
        <v>123</v>
      </c>
      <c r="CE22" s="89" t="s">
        <v>72</v>
      </c>
      <c r="CF22" s="89" t="s">
        <v>115</v>
      </c>
      <c r="CG22" s="39"/>
      <c r="CH22" s="267"/>
      <c r="CI22" s="282"/>
      <c r="CJ22" s="251"/>
      <c r="CK22" s="251"/>
      <c r="CL22" s="253"/>
    </row>
    <row r="23" spans="1:90" ht="15.75" thickBot="1" x14ac:dyDescent="0.3">
      <c r="A23" s="41">
        <v>1</v>
      </c>
      <c r="B23" s="42">
        <v>2</v>
      </c>
      <c r="C23" s="42">
        <v>3</v>
      </c>
      <c r="D23" s="42">
        <v>4</v>
      </c>
      <c r="E23" s="42">
        <v>5</v>
      </c>
      <c r="F23" s="42">
        <v>6</v>
      </c>
      <c r="G23" s="42">
        <v>7</v>
      </c>
      <c r="H23" s="42">
        <v>8</v>
      </c>
      <c r="I23" s="42">
        <v>9</v>
      </c>
      <c r="J23" s="42"/>
      <c r="K23" s="42">
        <v>10</v>
      </c>
      <c r="L23" s="42">
        <v>11</v>
      </c>
      <c r="M23" s="42">
        <v>12</v>
      </c>
      <c r="N23" s="42">
        <v>13</v>
      </c>
      <c r="O23" s="42">
        <v>14</v>
      </c>
      <c r="P23" s="42">
        <v>15</v>
      </c>
      <c r="Q23" s="42">
        <v>16</v>
      </c>
      <c r="R23" s="42">
        <v>17</v>
      </c>
      <c r="S23" s="42">
        <v>18</v>
      </c>
      <c r="T23" s="42">
        <v>19</v>
      </c>
      <c r="U23" s="42">
        <v>20</v>
      </c>
      <c r="V23" s="42">
        <v>21</v>
      </c>
      <c r="W23" s="42">
        <v>22</v>
      </c>
      <c r="X23" s="42">
        <v>23</v>
      </c>
      <c r="Y23" s="42">
        <v>24</v>
      </c>
      <c r="Z23" s="42">
        <v>25</v>
      </c>
      <c r="AA23" s="42"/>
      <c r="AB23" s="42">
        <v>27</v>
      </c>
      <c r="AC23" s="42">
        <v>28</v>
      </c>
      <c r="AD23" s="42">
        <v>29</v>
      </c>
      <c r="AE23" s="42">
        <v>30</v>
      </c>
      <c r="AF23" s="42">
        <v>31</v>
      </c>
      <c r="AG23" s="42">
        <v>32</v>
      </c>
      <c r="AH23" s="42">
        <v>33</v>
      </c>
      <c r="AI23" s="42">
        <v>34</v>
      </c>
      <c r="AJ23" s="42">
        <v>35</v>
      </c>
      <c r="AK23" s="42">
        <v>36</v>
      </c>
      <c r="AL23" s="42">
        <v>37</v>
      </c>
      <c r="AM23" s="42">
        <v>38</v>
      </c>
      <c r="AN23" s="42">
        <v>39</v>
      </c>
      <c r="AO23" s="42">
        <v>40</v>
      </c>
      <c r="AP23" s="42">
        <v>41</v>
      </c>
      <c r="AQ23" s="42">
        <v>42</v>
      </c>
      <c r="AR23" s="42">
        <v>43</v>
      </c>
      <c r="AS23" s="42">
        <v>44</v>
      </c>
      <c r="AT23" s="42">
        <v>45</v>
      </c>
      <c r="AU23" s="42">
        <v>46</v>
      </c>
      <c r="AV23" s="42">
        <v>47</v>
      </c>
      <c r="AW23" s="42">
        <v>48</v>
      </c>
      <c r="AX23" s="42">
        <v>49</v>
      </c>
      <c r="AY23" s="42">
        <v>42</v>
      </c>
      <c r="AZ23" s="42">
        <v>43</v>
      </c>
      <c r="BA23" s="42">
        <v>44</v>
      </c>
      <c r="BB23" s="42">
        <v>45</v>
      </c>
      <c r="BC23" s="42">
        <v>46</v>
      </c>
      <c r="BD23" s="42">
        <v>47</v>
      </c>
      <c r="BE23" s="42">
        <v>48</v>
      </c>
      <c r="BF23" s="42">
        <v>49</v>
      </c>
      <c r="BG23" s="42">
        <v>42</v>
      </c>
      <c r="BH23" s="42">
        <v>43</v>
      </c>
      <c r="BI23" s="42">
        <v>44</v>
      </c>
      <c r="BJ23" s="42">
        <v>45</v>
      </c>
      <c r="BK23" s="42">
        <v>46</v>
      </c>
      <c r="BL23" s="42">
        <v>47</v>
      </c>
      <c r="BM23" s="42">
        <v>48</v>
      </c>
      <c r="BN23" s="42">
        <v>49</v>
      </c>
      <c r="BO23" s="42">
        <v>66</v>
      </c>
      <c r="BP23" s="42">
        <v>67</v>
      </c>
      <c r="BQ23" s="42">
        <v>68</v>
      </c>
      <c r="BR23" s="42">
        <v>69</v>
      </c>
      <c r="BS23" s="42">
        <v>70</v>
      </c>
      <c r="BT23" s="42">
        <v>71</v>
      </c>
      <c r="BU23" s="42">
        <v>72</v>
      </c>
      <c r="BV23" s="42">
        <v>73</v>
      </c>
      <c r="BW23" s="42">
        <v>74</v>
      </c>
      <c r="BX23" s="42">
        <v>75</v>
      </c>
      <c r="BY23" s="42">
        <v>76</v>
      </c>
      <c r="BZ23" s="42">
        <v>77</v>
      </c>
      <c r="CA23" s="100">
        <v>78</v>
      </c>
      <c r="CB23" s="100">
        <v>79</v>
      </c>
      <c r="CC23" s="100">
        <v>80</v>
      </c>
      <c r="CD23" s="100">
        <v>81</v>
      </c>
      <c r="CE23" s="90">
        <v>82</v>
      </c>
      <c r="CF23" s="90">
        <v>83</v>
      </c>
      <c r="CG23" s="42"/>
      <c r="CH23" s="42"/>
      <c r="CI23" s="116"/>
      <c r="CJ23" s="42">
        <v>85</v>
      </c>
      <c r="CK23" s="42">
        <v>86</v>
      </c>
      <c r="CL23" s="105">
        <v>87</v>
      </c>
    </row>
    <row r="24" spans="1:90" s="97" customFormat="1" ht="23.25" customHeight="1" x14ac:dyDescent="0.25">
      <c r="A24" s="262" t="s">
        <v>73</v>
      </c>
      <c r="B24" s="263"/>
      <c r="C24" s="92"/>
      <c r="D24" s="93"/>
      <c r="E24" s="94"/>
      <c r="F24" s="93"/>
      <c r="G24" s="95"/>
      <c r="H24" s="95"/>
      <c r="I24" s="96">
        <f t="shared" ref="I24:AP24" si="1">SUM(I25:I61)</f>
        <v>20</v>
      </c>
      <c r="J24" s="96">
        <f t="shared" si="1"/>
        <v>4</v>
      </c>
      <c r="K24" s="96">
        <f t="shared" si="1"/>
        <v>97</v>
      </c>
      <c r="L24" s="96">
        <f t="shared" si="1"/>
        <v>10</v>
      </c>
      <c r="M24" s="96">
        <f t="shared" si="1"/>
        <v>0</v>
      </c>
      <c r="N24" s="96">
        <f t="shared" si="1"/>
        <v>0</v>
      </c>
      <c r="O24" s="96">
        <f t="shared" si="1"/>
        <v>29</v>
      </c>
      <c r="P24" s="96">
        <f t="shared" si="1"/>
        <v>4</v>
      </c>
      <c r="Q24" s="96">
        <f t="shared" si="1"/>
        <v>32</v>
      </c>
      <c r="R24" s="96">
        <f t="shared" si="1"/>
        <v>2</v>
      </c>
      <c r="S24" s="96">
        <f t="shared" si="1"/>
        <v>0</v>
      </c>
      <c r="T24" s="96">
        <f t="shared" si="1"/>
        <v>0</v>
      </c>
      <c r="U24" s="96">
        <f t="shared" si="1"/>
        <v>34</v>
      </c>
      <c r="V24" s="96">
        <f t="shared" si="1"/>
        <v>4</v>
      </c>
      <c r="W24" s="96">
        <f t="shared" si="1"/>
        <v>95</v>
      </c>
      <c r="X24" s="96">
        <f t="shared" si="1"/>
        <v>10</v>
      </c>
      <c r="Y24" s="96">
        <f t="shared" si="1"/>
        <v>0</v>
      </c>
      <c r="Z24" s="96">
        <f t="shared" si="1"/>
        <v>0</v>
      </c>
      <c r="AA24" s="96">
        <f t="shared" si="1"/>
        <v>33</v>
      </c>
      <c r="AB24" s="96">
        <f t="shared" si="1"/>
        <v>6</v>
      </c>
      <c r="AC24" s="96">
        <f t="shared" si="1"/>
        <v>33</v>
      </c>
      <c r="AD24" s="96">
        <f t="shared" si="1"/>
        <v>6</v>
      </c>
      <c r="AE24" s="96">
        <f t="shared" si="1"/>
        <v>90743.210937500029</v>
      </c>
      <c r="AF24" s="96">
        <f t="shared" si="1"/>
        <v>642941.84166666667</v>
      </c>
      <c r="AG24" s="96">
        <f t="shared" si="1"/>
        <v>0</v>
      </c>
      <c r="AH24" s="96">
        <f t="shared" si="1"/>
        <v>183385.16250000006</v>
      </c>
      <c r="AI24" s="96">
        <f t="shared" si="1"/>
        <v>191103.02083333337</v>
      </c>
      <c r="AJ24" s="96">
        <f t="shared" si="1"/>
        <v>0</v>
      </c>
      <c r="AK24" s="96">
        <f t="shared" si="1"/>
        <v>224423.15364583337</v>
      </c>
      <c r="AL24" s="96">
        <f t="shared" si="1"/>
        <v>598911.33697916649</v>
      </c>
      <c r="AM24" s="96">
        <f t="shared" si="1"/>
        <v>0</v>
      </c>
      <c r="AN24" s="96">
        <f t="shared" si="1"/>
        <v>229646.22656250006</v>
      </c>
      <c r="AO24" s="96">
        <f t="shared" si="1"/>
        <v>229646.22656250006</v>
      </c>
      <c r="AP24" s="96">
        <f t="shared" si="1"/>
        <v>1562242.6161458332</v>
      </c>
      <c r="AQ24" s="96">
        <f t="shared" ref="AQ24:BN24" si="2">SUM(AQ25:AQ29)</f>
        <v>0</v>
      </c>
      <c r="AR24" s="96">
        <f t="shared" si="2"/>
        <v>0</v>
      </c>
      <c r="AS24" s="96">
        <f t="shared" si="2"/>
        <v>0</v>
      </c>
      <c r="AT24" s="96">
        <f t="shared" si="2"/>
        <v>0</v>
      </c>
      <c r="AU24" s="96">
        <f t="shared" si="2"/>
        <v>0</v>
      </c>
      <c r="AV24" s="96">
        <f t="shared" si="2"/>
        <v>0</v>
      </c>
      <c r="AW24" s="96">
        <f t="shared" si="2"/>
        <v>2</v>
      </c>
      <c r="AX24" s="96">
        <f t="shared" si="2"/>
        <v>393.26666666666665</v>
      </c>
      <c r="AY24" s="96">
        <f t="shared" si="2"/>
        <v>0</v>
      </c>
      <c r="AZ24" s="96">
        <f t="shared" si="2"/>
        <v>0</v>
      </c>
      <c r="BA24" s="96">
        <f t="shared" si="2"/>
        <v>0</v>
      </c>
      <c r="BB24" s="96">
        <f t="shared" si="2"/>
        <v>0</v>
      </c>
      <c r="BC24" s="96">
        <f t="shared" si="2"/>
        <v>0</v>
      </c>
      <c r="BD24" s="96">
        <f t="shared" si="2"/>
        <v>0</v>
      </c>
      <c r="BE24" s="96">
        <f t="shared" si="2"/>
        <v>6</v>
      </c>
      <c r="BF24" s="96">
        <f t="shared" si="2"/>
        <v>1179.8</v>
      </c>
      <c r="BG24" s="96">
        <f t="shared" si="2"/>
        <v>0</v>
      </c>
      <c r="BH24" s="96">
        <f t="shared" si="2"/>
        <v>0</v>
      </c>
      <c r="BI24" s="96">
        <f t="shared" si="2"/>
        <v>0</v>
      </c>
      <c r="BJ24" s="96">
        <f t="shared" si="2"/>
        <v>0</v>
      </c>
      <c r="BK24" s="96">
        <f t="shared" si="2"/>
        <v>0</v>
      </c>
      <c r="BL24" s="96">
        <f t="shared" si="2"/>
        <v>0</v>
      </c>
      <c r="BM24" s="96">
        <f t="shared" si="2"/>
        <v>0</v>
      </c>
      <c r="BN24" s="96">
        <f t="shared" si="2"/>
        <v>0</v>
      </c>
      <c r="BO24" s="96">
        <f t="shared" ref="BO24:BR24" si="3">SUM(BO25:BO35)</f>
        <v>0.5</v>
      </c>
      <c r="BP24" s="96">
        <f t="shared" si="3"/>
        <v>5309.1</v>
      </c>
      <c r="BQ24" s="96">
        <f t="shared" si="3"/>
        <v>0</v>
      </c>
      <c r="BR24" s="96">
        <f t="shared" si="3"/>
        <v>0</v>
      </c>
      <c r="BS24" s="96">
        <f t="shared" ref="BS24:CL24" si="4">SUM(BS25:BS61)</f>
        <v>0</v>
      </c>
      <c r="BT24" s="96">
        <f t="shared" si="4"/>
        <v>0</v>
      </c>
      <c r="BU24" s="96">
        <f t="shared" si="4"/>
        <v>0</v>
      </c>
      <c r="BV24" s="96">
        <f t="shared" si="4"/>
        <v>0</v>
      </c>
      <c r="BW24" s="96">
        <f t="shared" si="4"/>
        <v>0</v>
      </c>
      <c r="BX24" s="96">
        <f t="shared" si="4"/>
        <v>0</v>
      </c>
      <c r="BY24" s="96">
        <f t="shared" si="4"/>
        <v>46</v>
      </c>
      <c r="BZ24" s="96">
        <f t="shared" si="4"/>
        <v>65779.380312499998</v>
      </c>
      <c r="CA24" s="96">
        <f t="shared" si="4"/>
        <v>9</v>
      </c>
      <c r="CB24" s="96">
        <f t="shared" si="4"/>
        <v>18611.959479166668</v>
      </c>
      <c r="CC24" s="96">
        <f t="shared" si="4"/>
        <v>125</v>
      </c>
      <c r="CD24" s="96">
        <f t="shared" si="4"/>
        <v>324432.71041666676</v>
      </c>
      <c r="CE24" s="96">
        <f t="shared" si="4"/>
        <v>246</v>
      </c>
      <c r="CF24" s="96">
        <f t="shared" si="4"/>
        <v>432730.36218750011</v>
      </c>
      <c r="CG24" s="96">
        <f t="shared" si="4"/>
        <v>0</v>
      </c>
      <c r="CH24" s="96">
        <f t="shared" si="4"/>
        <v>156224.26161458335</v>
      </c>
      <c r="CI24" s="117">
        <f t="shared" si="4"/>
        <v>17697</v>
      </c>
      <c r="CJ24" s="96">
        <f t="shared" si="4"/>
        <v>228000.42828125003</v>
      </c>
      <c r="CK24" s="96">
        <f t="shared" si="4"/>
        <v>1790243.0444270836</v>
      </c>
      <c r="CL24" s="107">
        <f t="shared" si="4"/>
        <v>2649494.4568229173</v>
      </c>
    </row>
    <row r="25" spans="1:90" s="62" customFormat="1" x14ac:dyDescent="0.25">
      <c r="A25" s="52">
        <v>3</v>
      </c>
      <c r="B25" s="53" t="s">
        <v>102</v>
      </c>
      <c r="C25" s="53" t="s">
        <v>98</v>
      </c>
      <c r="D25" s="54" t="s">
        <v>82</v>
      </c>
      <c r="E25" s="55">
        <v>17</v>
      </c>
      <c r="F25" s="54" t="s">
        <v>96</v>
      </c>
      <c r="G25" s="56">
        <f>5.24*17697</f>
        <v>92732.28</v>
      </c>
      <c r="H25" s="49">
        <f t="shared" ref="H25:H61" si="5">G25*1.25</f>
        <v>115915.35</v>
      </c>
      <c r="I25" s="48"/>
      <c r="J25" s="48"/>
      <c r="K25" s="48">
        <v>2</v>
      </c>
      <c r="L25" s="48"/>
      <c r="M25" s="48"/>
      <c r="N25" s="48"/>
      <c r="O25" s="48"/>
      <c r="P25" s="48"/>
      <c r="Q25" s="48">
        <v>3</v>
      </c>
      <c r="R25" s="48"/>
      <c r="S25" s="48"/>
      <c r="T25" s="48"/>
      <c r="U25" s="48">
        <v>3</v>
      </c>
      <c r="V25" s="48"/>
      <c r="W25" s="47">
        <f t="shared" ref="W25:X40" si="6">M25+O25+Q25+S25+U25</f>
        <v>6</v>
      </c>
      <c r="X25" s="47">
        <f t="shared" si="6"/>
        <v>0</v>
      </c>
      <c r="Y25" s="48"/>
      <c r="Z25" s="48"/>
      <c r="AA25" s="48"/>
      <c r="AB25" s="48"/>
      <c r="AC25" s="47">
        <f t="shared" ref="AC25:AD40" si="7">Y25+AA25</f>
        <v>0</v>
      </c>
      <c r="AD25" s="47">
        <f t="shared" si="7"/>
        <v>0</v>
      </c>
      <c r="AE25" s="49">
        <f>H25/24*I25</f>
        <v>0</v>
      </c>
      <c r="AF25" s="49">
        <f t="shared" ref="AF25:AF61" si="8">H25/18*(K25+L25)</f>
        <v>12879.483333333334</v>
      </c>
      <c r="AG25" s="49">
        <f t="shared" ref="AG25:AG61" si="9">H25/18*(M25+N25)</f>
        <v>0</v>
      </c>
      <c r="AH25" s="49">
        <f t="shared" ref="AH25:AH61" si="10">H25/18*(O25+P25)</f>
        <v>0</v>
      </c>
      <c r="AI25" s="49">
        <f t="shared" ref="AI25:AI61" si="11">H25/18*(Q25+R25)</f>
        <v>19319.224999999999</v>
      </c>
      <c r="AJ25" s="49">
        <f t="shared" ref="AJ25:AJ61" si="12">H25/18*(S25+T25)</f>
        <v>0</v>
      </c>
      <c r="AK25" s="49">
        <f t="shared" ref="AK25:AK61" si="13">H25/18*(U25+V25)</f>
        <v>19319.224999999999</v>
      </c>
      <c r="AL25" s="49">
        <f t="shared" ref="AL25:AL61" si="14">SUM(AG25:AK25)</f>
        <v>38638.449999999997</v>
      </c>
      <c r="AM25" s="49">
        <f t="shared" ref="AM25:AM61" si="15">H25/18*(Y25+Z25)</f>
        <v>0</v>
      </c>
      <c r="AN25" s="49">
        <f t="shared" ref="AN25:AN61" si="16">H25/18*(AA25+AB25)</f>
        <v>0</v>
      </c>
      <c r="AO25" s="49">
        <f t="shared" ref="AO25:AO61" si="17">AM25+AN25</f>
        <v>0</v>
      </c>
      <c r="AP25" s="49">
        <f t="shared" ref="AP25:AP61" si="18">AE25+AF25+AL25+AO25</f>
        <v>51517.933333333334</v>
      </c>
      <c r="AQ25" s="57"/>
      <c r="AR25" s="49">
        <f>(17697*50/100)/18*AQ25</f>
        <v>0</v>
      </c>
      <c r="AS25" s="57">
        <v>0</v>
      </c>
      <c r="AT25" s="49">
        <f>(17697*25/100)/18*AS25</f>
        <v>0</v>
      </c>
      <c r="AU25" s="57"/>
      <c r="AV25" s="49">
        <f>(17697*40/100)/18*AU25</f>
        <v>0</v>
      </c>
      <c r="AW25" s="57">
        <v>2</v>
      </c>
      <c r="AX25" s="49">
        <f t="shared" ref="AX25:BF40" si="19">(17697*20/100)/18*AW25</f>
        <v>393.26666666666665</v>
      </c>
      <c r="AY25" s="57"/>
      <c r="AZ25" s="49">
        <f>(17697*50/100)/18*AY25</f>
        <v>0</v>
      </c>
      <c r="BA25" s="57"/>
      <c r="BB25" s="49">
        <f>(17697*25/100)/18*BA25</f>
        <v>0</v>
      </c>
      <c r="BC25" s="57"/>
      <c r="BD25" s="49">
        <f>(17697*40/100)/18*BC25</f>
        <v>0</v>
      </c>
      <c r="BE25" s="57">
        <v>6</v>
      </c>
      <c r="BF25" s="49">
        <f t="shared" si="19"/>
        <v>1179.8</v>
      </c>
      <c r="BG25" s="57"/>
      <c r="BH25" s="49">
        <f>(17697*50/100)/18*BG25</f>
        <v>0</v>
      </c>
      <c r="BI25" s="57">
        <v>0</v>
      </c>
      <c r="BJ25" s="49">
        <f>(17697*25/100)/18*BI25</f>
        <v>0</v>
      </c>
      <c r="BK25" s="57"/>
      <c r="BL25" s="49">
        <f>(17697*40/100)/18*BK25</f>
        <v>0</v>
      </c>
      <c r="BM25" s="57">
        <v>0</v>
      </c>
      <c r="BN25" s="49">
        <f>(17697*20/100)/18*BM25</f>
        <v>0</v>
      </c>
      <c r="BO25" s="58"/>
      <c r="BP25" s="49">
        <f>(17697*60/100)*BO25</f>
        <v>0</v>
      </c>
      <c r="BQ25" s="58"/>
      <c r="BR25" s="49">
        <f>(17697*50/100)*BQ25</f>
        <v>0</v>
      </c>
      <c r="BS25" s="57"/>
      <c r="BT25" s="49">
        <f t="shared" ref="BT25" si="20">(17697*25/100)/20*BS25</f>
        <v>0</v>
      </c>
      <c r="BU25" s="57"/>
      <c r="BV25" s="49">
        <f t="shared" ref="BV25" si="21">(17697*25/100)/18*BU25</f>
        <v>0</v>
      </c>
      <c r="BW25" s="56"/>
      <c r="BX25" s="49">
        <f t="shared" ref="BX25" si="22">(17697*20/100)*BW25</f>
        <v>0</v>
      </c>
      <c r="BY25" s="59"/>
      <c r="BZ25" s="49">
        <f>H25*0.3/18*BY25</f>
        <v>0</v>
      </c>
      <c r="CA25" s="59"/>
      <c r="CB25" s="49">
        <f>H25*0.35/18*CA25</f>
        <v>0</v>
      </c>
      <c r="CC25" s="60">
        <v>8</v>
      </c>
      <c r="CD25" s="49">
        <f>H25*0.4/18*CC25</f>
        <v>20607.173333333336</v>
      </c>
      <c r="CE25" s="57">
        <f>K25+L25+W25+X25+AC25+AD25</f>
        <v>8</v>
      </c>
      <c r="CF25" s="49">
        <f>H25*0.3/18*CE25</f>
        <v>15455.380000000001</v>
      </c>
      <c r="CG25" s="49"/>
      <c r="CH25" s="49">
        <f>AP25*0.1</f>
        <v>5151.793333333334</v>
      </c>
      <c r="CI25" s="49"/>
      <c r="CJ25" s="61">
        <f>AR25+AT25+AV25+AX25+AZ25+BB25+BD25+BF25+BH25+BJ25+BL25+BN25+BP25+BR25+BT25+BV25+BX25+CG25+CH25</f>
        <v>6724.8600000000006</v>
      </c>
      <c r="CK25" s="49">
        <f t="shared" ref="CK25:CK61" si="23">AP25+CJ25</f>
        <v>58242.793333333335</v>
      </c>
      <c r="CL25" s="106">
        <f>CK25++CF25+CD25+CB25+BZ25+CI25</f>
        <v>94305.346666666679</v>
      </c>
    </row>
    <row r="26" spans="1:90" s="62" customFormat="1" ht="14.1" customHeight="1" x14ac:dyDescent="0.25">
      <c r="A26" s="52">
        <v>1</v>
      </c>
      <c r="B26" s="53" t="s">
        <v>100</v>
      </c>
      <c r="C26" s="53" t="s">
        <v>86</v>
      </c>
      <c r="D26" s="54" t="s">
        <v>82</v>
      </c>
      <c r="E26" s="55">
        <v>36.04</v>
      </c>
      <c r="F26" s="54" t="s">
        <v>96</v>
      </c>
      <c r="G26" s="56">
        <f>5.41*17697</f>
        <v>95740.77</v>
      </c>
      <c r="H26" s="49">
        <f t="shared" si="5"/>
        <v>119675.96250000001</v>
      </c>
      <c r="I26" s="48"/>
      <c r="J26" s="48"/>
      <c r="K26" s="48"/>
      <c r="L26" s="48"/>
      <c r="M26" s="48"/>
      <c r="N26" s="48"/>
      <c r="O26" s="48">
        <v>3</v>
      </c>
      <c r="P26" s="48">
        <v>2</v>
      </c>
      <c r="Q26" s="48">
        <v>3</v>
      </c>
      <c r="R26" s="48">
        <v>1</v>
      </c>
      <c r="S26" s="48"/>
      <c r="T26" s="48"/>
      <c r="U26" s="48">
        <v>4</v>
      </c>
      <c r="V26" s="48">
        <v>1</v>
      </c>
      <c r="W26" s="47">
        <f t="shared" si="6"/>
        <v>10</v>
      </c>
      <c r="X26" s="47">
        <f t="shared" si="6"/>
        <v>4</v>
      </c>
      <c r="Y26" s="48"/>
      <c r="Z26" s="48"/>
      <c r="AA26" s="48">
        <v>2</v>
      </c>
      <c r="AB26" s="48">
        <v>1</v>
      </c>
      <c r="AC26" s="47">
        <f t="shared" si="7"/>
        <v>2</v>
      </c>
      <c r="AD26" s="47">
        <f t="shared" si="7"/>
        <v>1</v>
      </c>
      <c r="AE26" s="49">
        <f t="shared" ref="AE26:AE61" si="24">H26/24*I26</f>
        <v>0</v>
      </c>
      <c r="AF26" s="49">
        <f t="shared" si="8"/>
        <v>0</v>
      </c>
      <c r="AG26" s="49">
        <f t="shared" si="9"/>
        <v>0</v>
      </c>
      <c r="AH26" s="49">
        <f t="shared" si="10"/>
        <v>33243.322916666672</v>
      </c>
      <c r="AI26" s="49">
        <f t="shared" si="11"/>
        <v>26594.658333333336</v>
      </c>
      <c r="AJ26" s="49">
        <f t="shared" si="12"/>
        <v>0</v>
      </c>
      <c r="AK26" s="49">
        <f t="shared" si="13"/>
        <v>33243.322916666672</v>
      </c>
      <c r="AL26" s="49">
        <f t="shared" si="14"/>
        <v>93081.304166666683</v>
      </c>
      <c r="AM26" s="49">
        <f t="shared" si="15"/>
        <v>0</v>
      </c>
      <c r="AN26" s="49">
        <f t="shared" si="16"/>
        <v>19945.993750000001</v>
      </c>
      <c r="AO26" s="49">
        <f t="shared" si="17"/>
        <v>19945.993750000001</v>
      </c>
      <c r="AP26" s="49">
        <f t="shared" si="18"/>
        <v>113027.29791666669</v>
      </c>
      <c r="AQ26" s="57"/>
      <c r="AR26" s="49">
        <f t="shared" ref="AR26:AZ41" si="25">(17697*50/100)/18*AQ26</f>
        <v>0</v>
      </c>
      <c r="AS26" s="57"/>
      <c r="AT26" s="49">
        <f t="shared" ref="AT26:BB41" si="26">(17697*25/100)/18*AS26</f>
        <v>0</v>
      </c>
      <c r="AU26" s="57"/>
      <c r="AV26" s="49">
        <f t="shared" ref="AV26:BD41" si="27">(17697*40/100)/18*AU26</f>
        <v>0</v>
      </c>
      <c r="AW26" s="57"/>
      <c r="AX26" s="49">
        <f t="shared" si="19"/>
        <v>0</v>
      </c>
      <c r="AY26" s="57"/>
      <c r="AZ26" s="49">
        <f t="shared" si="25"/>
        <v>0</v>
      </c>
      <c r="BA26" s="57"/>
      <c r="BB26" s="49">
        <f t="shared" si="26"/>
        <v>0</v>
      </c>
      <c r="BC26" s="57"/>
      <c r="BD26" s="49">
        <f t="shared" si="27"/>
        <v>0</v>
      </c>
      <c r="BE26" s="57"/>
      <c r="BF26" s="49">
        <f t="shared" si="19"/>
        <v>0</v>
      </c>
      <c r="BG26" s="57"/>
      <c r="BH26" s="49">
        <f t="shared" ref="BH26:BH61" si="28">(17697*50/100)/18*BG26</f>
        <v>0</v>
      </c>
      <c r="BI26" s="57"/>
      <c r="BJ26" s="49">
        <f t="shared" ref="BJ26:BJ61" si="29">(17697*25/100)/18*BI26</f>
        <v>0</v>
      </c>
      <c r="BK26" s="57"/>
      <c r="BL26" s="49">
        <f t="shared" ref="BL26:BL61" si="30">(17697*40/100)/18*BK26</f>
        <v>0</v>
      </c>
      <c r="BM26" s="57"/>
      <c r="BN26" s="49">
        <f t="shared" ref="BN26:BN61" si="31">(17697*20/100)/18*BM26</f>
        <v>0</v>
      </c>
      <c r="BO26" s="58"/>
      <c r="BP26" s="49">
        <f t="shared" ref="BP26:BP61" si="32">(17697*60/100)*BO26</f>
        <v>0</v>
      </c>
      <c r="BQ26" s="58"/>
      <c r="BR26" s="49">
        <f t="shared" ref="BR26:BR61" si="33">(17697*50/100)*BQ26</f>
        <v>0</v>
      </c>
      <c r="BS26" s="57"/>
      <c r="BT26" s="49">
        <f>(17697*25/100)/20*BS26</f>
        <v>0</v>
      </c>
      <c r="BU26" s="57"/>
      <c r="BV26" s="49">
        <f>(17697*25/100)/18*BU26</f>
        <v>0</v>
      </c>
      <c r="BW26" s="56"/>
      <c r="BX26" s="49">
        <f>(17697*20/100)*BW26</f>
        <v>0</v>
      </c>
      <c r="BY26" s="59"/>
      <c r="BZ26" s="49">
        <f t="shared" ref="BZ26:BZ61" si="34">H26*0.3/18*BY26</f>
        <v>0</v>
      </c>
      <c r="CA26" s="59"/>
      <c r="CB26" s="49">
        <f t="shared" ref="CB26:CB61" si="35">H26*0.35/18*CA26</f>
        <v>0</v>
      </c>
      <c r="CC26" s="60">
        <f>W26+X26+AC26+AD26</f>
        <v>17</v>
      </c>
      <c r="CD26" s="49">
        <f t="shared" ref="CD26:CD61" si="36">H26*0.4/18*CC26</f>
        <v>45210.919166666674</v>
      </c>
      <c r="CE26" s="57">
        <f t="shared" ref="CE26:CE61" si="37">K26+L26+W26+X26+AC26+AD26</f>
        <v>17</v>
      </c>
      <c r="CF26" s="49">
        <f t="shared" ref="CF26:CF61" si="38">H26*0.3/18*CE26</f>
        <v>33908.189375000002</v>
      </c>
      <c r="CG26" s="49"/>
      <c r="CH26" s="49">
        <f t="shared" ref="CH26:CH61" si="39">AP26*0.1</f>
        <v>11302.72979166667</v>
      </c>
      <c r="CI26" s="49"/>
      <c r="CJ26" s="61">
        <f t="shared" ref="CJ26:CJ61" si="40">AR26+AT26+AV26+AX26+AZ26+BB26+BD26+BF26+BH26+BJ26+BL26+BN26+BP26+BR26+BT26+BV26+BX26+CG26+CH26</f>
        <v>11302.72979166667</v>
      </c>
      <c r="CK26" s="49">
        <f t="shared" si="23"/>
        <v>124330.02770833336</v>
      </c>
      <c r="CL26" s="106">
        <f t="shared" ref="CL26:CL61" si="41">CK26++CF26+CD26+CB26+BZ26+CI26</f>
        <v>203449.13625000004</v>
      </c>
    </row>
    <row r="27" spans="1:90" s="62" customFormat="1" ht="14.1" customHeight="1" x14ac:dyDescent="0.25">
      <c r="A27" s="52"/>
      <c r="B27" s="53"/>
      <c r="C27" s="53" t="s">
        <v>145</v>
      </c>
      <c r="D27" s="54" t="s">
        <v>82</v>
      </c>
      <c r="E27" s="55">
        <v>36.04</v>
      </c>
      <c r="F27" s="54" t="s">
        <v>93</v>
      </c>
      <c r="G27" s="56">
        <f>4.73*17697</f>
        <v>83706.810000000012</v>
      </c>
      <c r="H27" s="49">
        <f t="shared" si="5"/>
        <v>104633.51250000001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>
        <v>1</v>
      </c>
      <c r="W27" s="47">
        <f t="shared" si="6"/>
        <v>0</v>
      </c>
      <c r="X27" s="47">
        <f t="shared" si="6"/>
        <v>1</v>
      </c>
      <c r="Y27" s="48"/>
      <c r="Z27" s="48"/>
      <c r="AA27" s="48"/>
      <c r="AB27" s="48"/>
      <c r="AC27" s="47">
        <f t="shared" si="7"/>
        <v>0</v>
      </c>
      <c r="AD27" s="47">
        <f t="shared" si="7"/>
        <v>0</v>
      </c>
      <c r="AE27" s="49">
        <f t="shared" si="24"/>
        <v>0</v>
      </c>
      <c r="AF27" s="49">
        <f t="shared" si="8"/>
        <v>0</v>
      </c>
      <c r="AG27" s="49">
        <f t="shared" si="9"/>
        <v>0</v>
      </c>
      <c r="AH27" s="49">
        <f t="shared" si="10"/>
        <v>0</v>
      </c>
      <c r="AI27" s="49">
        <f t="shared" si="11"/>
        <v>0</v>
      </c>
      <c r="AJ27" s="49">
        <f t="shared" si="12"/>
        <v>0</v>
      </c>
      <c r="AK27" s="49">
        <f t="shared" si="13"/>
        <v>5812.9729166666675</v>
      </c>
      <c r="AL27" s="49">
        <f t="shared" si="14"/>
        <v>5812.9729166666675</v>
      </c>
      <c r="AM27" s="49">
        <f t="shared" si="15"/>
        <v>0</v>
      </c>
      <c r="AN27" s="49">
        <f t="shared" si="16"/>
        <v>0</v>
      </c>
      <c r="AO27" s="49">
        <f t="shared" si="17"/>
        <v>0</v>
      </c>
      <c r="AP27" s="49">
        <f t="shared" si="18"/>
        <v>5812.9729166666675</v>
      </c>
      <c r="AQ27" s="57"/>
      <c r="AR27" s="49">
        <f t="shared" si="25"/>
        <v>0</v>
      </c>
      <c r="AS27" s="57"/>
      <c r="AT27" s="49">
        <f t="shared" si="26"/>
        <v>0</v>
      </c>
      <c r="AU27" s="57"/>
      <c r="AV27" s="49">
        <f t="shared" si="27"/>
        <v>0</v>
      </c>
      <c r="AW27" s="57"/>
      <c r="AX27" s="49">
        <f t="shared" si="19"/>
        <v>0</v>
      </c>
      <c r="AY27" s="57"/>
      <c r="AZ27" s="49">
        <f t="shared" si="25"/>
        <v>0</v>
      </c>
      <c r="BA27" s="57"/>
      <c r="BB27" s="49">
        <f t="shared" si="26"/>
        <v>0</v>
      </c>
      <c r="BC27" s="57"/>
      <c r="BD27" s="49">
        <f t="shared" si="27"/>
        <v>0</v>
      </c>
      <c r="BE27" s="57"/>
      <c r="BF27" s="49">
        <f t="shared" si="19"/>
        <v>0</v>
      </c>
      <c r="BG27" s="57"/>
      <c r="BH27" s="49">
        <f t="shared" si="28"/>
        <v>0</v>
      </c>
      <c r="BI27" s="57"/>
      <c r="BJ27" s="49">
        <f t="shared" si="29"/>
        <v>0</v>
      </c>
      <c r="BK27" s="57"/>
      <c r="BL27" s="49">
        <f t="shared" si="30"/>
        <v>0</v>
      </c>
      <c r="BM27" s="57"/>
      <c r="BN27" s="49">
        <f t="shared" si="31"/>
        <v>0</v>
      </c>
      <c r="BO27" s="58"/>
      <c r="BP27" s="49">
        <f t="shared" si="32"/>
        <v>0</v>
      </c>
      <c r="BQ27" s="58"/>
      <c r="BR27" s="49">
        <f t="shared" si="33"/>
        <v>0</v>
      </c>
      <c r="BS27" s="57"/>
      <c r="BT27" s="49">
        <f t="shared" ref="BT27:BT61" si="42">(17697*25/100)/20*BS27</f>
        <v>0</v>
      </c>
      <c r="BU27" s="57"/>
      <c r="BV27" s="49">
        <f t="shared" ref="BV27:BV61" si="43">(17697*25/100)/18*BU27</f>
        <v>0</v>
      </c>
      <c r="BW27" s="56"/>
      <c r="BX27" s="49">
        <f t="shared" ref="BX27:BX61" si="44">(17697*20/100)*BW27</f>
        <v>0</v>
      </c>
      <c r="BY27" s="59"/>
      <c r="BZ27" s="49">
        <f t="shared" si="34"/>
        <v>0</v>
      </c>
      <c r="CA27" s="59"/>
      <c r="CB27" s="49">
        <f t="shared" si="35"/>
        <v>0</v>
      </c>
      <c r="CC27" s="60">
        <f t="shared" ref="CC27:CC29" si="45">W27+X27+AC27+AD27</f>
        <v>1</v>
      </c>
      <c r="CD27" s="49">
        <f t="shared" si="36"/>
        <v>2325.189166666667</v>
      </c>
      <c r="CE27" s="57">
        <f t="shared" si="37"/>
        <v>1</v>
      </c>
      <c r="CF27" s="49">
        <f t="shared" si="38"/>
        <v>1743.8918750000003</v>
      </c>
      <c r="CG27" s="49"/>
      <c r="CH27" s="49">
        <f t="shared" si="39"/>
        <v>581.29729166666675</v>
      </c>
      <c r="CI27" s="49"/>
      <c r="CJ27" s="61">
        <f t="shared" si="40"/>
        <v>581.29729166666675</v>
      </c>
      <c r="CK27" s="49">
        <f t="shared" si="23"/>
        <v>6394.2702083333343</v>
      </c>
      <c r="CL27" s="106">
        <f t="shared" si="41"/>
        <v>10463.351250000002</v>
      </c>
    </row>
    <row r="28" spans="1:90" s="62" customFormat="1" ht="14.1" customHeight="1" x14ac:dyDescent="0.25">
      <c r="A28" s="52"/>
      <c r="B28" s="53"/>
      <c r="C28" s="53" t="s">
        <v>76</v>
      </c>
      <c r="D28" s="54" t="s">
        <v>82</v>
      </c>
      <c r="E28" s="55">
        <v>36.04</v>
      </c>
      <c r="F28" s="54" t="s">
        <v>95</v>
      </c>
      <c r="G28" s="56">
        <f>3.73*17697</f>
        <v>66009.81</v>
      </c>
      <c r="H28" s="49">
        <f t="shared" si="5"/>
        <v>82512.262499999997</v>
      </c>
      <c r="I28" s="48"/>
      <c r="J28" s="48"/>
      <c r="K28" s="48"/>
      <c r="L28" s="48"/>
      <c r="M28" s="48"/>
      <c r="N28" s="48"/>
      <c r="O28" s="48">
        <v>1</v>
      </c>
      <c r="P28" s="48"/>
      <c r="Q28" s="48">
        <v>1</v>
      </c>
      <c r="R28" s="48"/>
      <c r="S28" s="48"/>
      <c r="T28" s="48"/>
      <c r="U28" s="48">
        <v>1</v>
      </c>
      <c r="V28" s="48"/>
      <c r="W28" s="47">
        <f t="shared" si="6"/>
        <v>3</v>
      </c>
      <c r="X28" s="47">
        <f t="shared" si="6"/>
        <v>0</v>
      </c>
      <c r="Y28" s="48"/>
      <c r="Z28" s="48"/>
      <c r="AA28" s="48">
        <v>1</v>
      </c>
      <c r="AB28" s="48"/>
      <c r="AC28" s="47">
        <f t="shared" si="7"/>
        <v>1</v>
      </c>
      <c r="AD28" s="47">
        <f t="shared" si="7"/>
        <v>0</v>
      </c>
      <c r="AE28" s="49">
        <f t="shared" si="24"/>
        <v>0</v>
      </c>
      <c r="AF28" s="49">
        <f t="shared" si="8"/>
        <v>0</v>
      </c>
      <c r="AG28" s="49">
        <f t="shared" si="9"/>
        <v>0</v>
      </c>
      <c r="AH28" s="49">
        <f t="shared" si="10"/>
        <v>4584.0145833333336</v>
      </c>
      <c r="AI28" s="49">
        <f t="shared" si="11"/>
        <v>4584.0145833333336</v>
      </c>
      <c r="AJ28" s="49">
        <f t="shared" si="12"/>
        <v>0</v>
      </c>
      <c r="AK28" s="49">
        <f t="shared" si="13"/>
        <v>4584.0145833333336</v>
      </c>
      <c r="AL28" s="49">
        <f t="shared" si="14"/>
        <v>13752.043750000001</v>
      </c>
      <c r="AM28" s="49">
        <f t="shared" si="15"/>
        <v>0</v>
      </c>
      <c r="AN28" s="49">
        <f t="shared" si="16"/>
        <v>4584.0145833333336</v>
      </c>
      <c r="AO28" s="49">
        <f t="shared" si="17"/>
        <v>4584.0145833333336</v>
      </c>
      <c r="AP28" s="49">
        <f t="shared" si="18"/>
        <v>18336.058333333334</v>
      </c>
      <c r="AQ28" s="57"/>
      <c r="AR28" s="49"/>
      <c r="AS28" s="57"/>
      <c r="AT28" s="49"/>
      <c r="AU28" s="57"/>
      <c r="AV28" s="49"/>
      <c r="AW28" s="57"/>
      <c r="AX28" s="49"/>
      <c r="AY28" s="57"/>
      <c r="AZ28" s="49"/>
      <c r="BA28" s="57"/>
      <c r="BB28" s="49"/>
      <c r="BC28" s="57"/>
      <c r="BD28" s="49"/>
      <c r="BE28" s="57"/>
      <c r="BF28" s="49">
        <f t="shared" si="19"/>
        <v>0</v>
      </c>
      <c r="BG28" s="57"/>
      <c r="BH28" s="49"/>
      <c r="BI28" s="57"/>
      <c r="BJ28" s="49"/>
      <c r="BK28" s="57"/>
      <c r="BL28" s="49"/>
      <c r="BM28" s="57"/>
      <c r="BN28" s="49"/>
      <c r="BO28" s="58"/>
      <c r="BP28" s="49"/>
      <c r="BQ28" s="58"/>
      <c r="BR28" s="49"/>
      <c r="BS28" s="57"/>
      <c r="BT28" s="49"/>
      <c r="BU28" s="57"/>
      <c r="BV28" s="49"/>
      <c r="BW28" s="56"/>
      <c r="BX28" s="49"/>
      <c r="BY28" s="59"/>
      <c r="BZ28" s="49"/>
      <c r="CA28" s="59"/>
      <c r="CB28" s="49"/>
      <c r="CC28" s="60">
        <f t="shared" si="45"/>
        <v>4</v>
      </c>
      <c r="CD28" s="49">
        <f t="shared" si="36"/>
        <v>7334.4233333333332</v>
      </c>
      <c r="CE28" s="57">
        <f t="shared" si="37"/>
        <v>4</v>
      </c>
      <c r="CF28" s="49">
        <f t="shared" si="38"/>
        <v>5500.8175000000001</v>
      </c>
      <c r="CG28" s="49"/>
      <c r="CH28" s="49">
        <f t="shared" si="39"/>
        <v>1833.6058333333335</v>
      </c>
      <c r="CI28" s="49"/>
      <c r="CJ28" s="61">
        <f t="shared" si="40"/>
        <v>1833.6058333333335</v>
      </c>
      <c r="CK28" s="49">
        <f t="shared" si="23"/>
        <v>20169.664166666669</v>
      </c>
      <c r="CL28" s="106">
        <f t="shared" si="41"/>
        <v>33004.905000000006</v>
      </c>
    </row>
    <row r="29" spans="1:90" s="62" customFormat="1" ht="14.1" customHeight="1" x14ac:dyDescent="0.25">
      <c r="A29" s="52"/>
      <c r="B29" s="53"/>
      <c r="C29" s="53" t="s">
        <v>127</v>
      </c>
      <c r="D29" s="54"/>
      <c r="E29" s="55">
        <v>36.04</v>
      </c>
      <c r="F29" s="54" t="s">
        <v>93</v>
      </c>
      <c r="G29" s="56">
        <f>4.73*17697</f>
        <v>83706.810000000012</v>
      </c>
      <c r="H29" s="49">
        <f t="shared" si="5"/>
        <v>104633.51250000001</v>
      </c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7">
        <f t="shared" si="6"/>
        <v>0</v>
      </c>
      <c r="X29" s="47">
        <f t="shared" si="6"/>
        <v>0</v>
      </c>
      <c r="Y29" s="48"/>
      <c r="Z29" s="48"/>
      <c r="AA29" s="48">
        <v>2</v>
      </c>
      <c r="AB29" s="48">
        <v>1</v>
      </c>
      <c r="AC29" s="47">
        <f t="shared" si="7"/>
        <v>2</v>
      </c>
      <c r="AD29" s="47">
        <f t="shared" si="7"/>
        <v>1</v>
      </c>
      <c r="AE29" s="49">
        <f t="shared" si="24"/>
        <v>0</v>
      </c>
      <c r="AF29" s="49">
        <f t="shared" si="8"/>
        <v>0</v>
      </c>
      <c r="AG29" s="49">
        <f t="shared" si="9"/>
        <v>0</v>
      </c>
      <c r="AH29" s="49">
        <f t="shared" si="10"/>
        <v>0</v>
      </c>
      <c r="AI29" s="49">
        <f t="shared" si="11"/>
        <v>0</v>
      </c>
      <c r="AJ29" s="49">
        <f t="shared" si="12"/>
        <v>0</v>
      </c>
      <c r="AK29" s="49">
        <f t="shared" si="13"/>
        <v>0</v>
      </c>
      <c r="AL29" s="49">
        <f t="shared" si="14"/>
        <v>0</v>
      </c>
      <c r="AM29" s="49">
        <f t="shared" si="15"/>
        <v>0</v>
      </c>
      <c r="AN29" s="49">
        <f t="shared" si="16"/>
        <v>17438.918750000004</v>
      </c>
      <c r="AO29" s="49">
        <f t="shared" si="17"/>
        <v>17438.918750000004</v>
      </c>
      <c r="AP29" s="49">
        <f t="shared" si="18"/>
        <v>17438.918750000004</v>
      </c>
      <c r="AQ29" s="57"/>
      <c r="AR29" s="49">
        <f t="shared" si="25"/>
        <v>0</v>
      </c>
      <c r="AS29" s="57"/>
      <c r="AT29" s="49">
        <f t="shared" si="26"/>
        <v>0</v>
      </c>
      <c r="AU29" s="57"/>
      <c r="AV29" s="49">
        <f t="shared" si="27"/>
        <v>0</v>
      </c>
      <c r="AW29" s="57"/>
      <c r="AX29" s="49">
        <f t="shared" si="19"/>
        <v>0</v>
      </c>
      <c r="AY29" s="57"/>
      <c r="AZ29" s="49">
        <f t="shared" si="25"/>
        <v>0</v>
      </c>
      <c r="BA29" s="57"/>
      <c r="BB29" s="49">
        <f t="shared" si="26"/>
        <v>0</v>
      </c>
      <c r="BC29" s="57"/>
      <c r="BD29" s="49">
        <f t="shared" si="27"/>
        <v>0</v>
      </c>
      <c r="BE29" s="57"/>
      <c r="BF29" s="49">
        <f t="shared" si="19"/>
        <v>0</v>
      </c>
      <c r="BG29" s="57"/>
      <c r="BH29" s="49">
        <f t="shared" si="28"/>
        <v>0</v>
      </c>
      <c r="BI29" s="57"/>
      <c r="BJ29" s="49">
        <f t="shared" si="29"/>
        <v>0</v>
      </c>
      <c r="BK29" s="57"/>
      <c r="BL29" s="49">
        <f t="shared" si="30"/>
        <v>0</v>
      </c>
      <c r="BM29" s="57"/>
      <c r="BN29" s="49">
        <f t="shared" si="31"/>
        <v>0</v>
      </c>
      <c r="BO29" s="58"/>
      <c r="BP29" s="49">
        <f t="shared" si="32"/>
        <v>0</v>
      </c>
      <c r="BQ29" s="58"/>
      <c r="BR29" s="49">
        <f t="shared" si="33"/>
        <v>0</v>
      </c>
      <c r="BS29" s="57"/>
      <c r="BT29" s="49"/>
      <c r="BU29" s="57"/>
      <c r="BV29" s="49"/>
      <c r="BW29" s="56"/>
      <c r="BX29" s="49"/>
      <c r="BY29" s="59"/>
      <c r="BZ29" s="49">
        <f t="shared" si="34"/>
        <v>0</v>
      </c>
      <c r="CA29" s="59"/>
      <c r="CB29" s="49">
        <f t="shared" si="35"/>
        <v>0</v>
      </c>
      <c r="CC29" s="60">
        <f t="shared" si="45"/>
        <v>3</v>
      </c>
      <c r="CD29" s="49">
        <f t="shared" si="36"/>
        <v>6975.567500000001</v>
      </c>
      <c r="CE29" s="57">
        <f t="shared" si="37"/>
        <v>3</v>
      </c>
      <c r="CF29" s="49">
        <f t="shared" si="38"/>
        <v>5231.6756250000008</v>
      </c>
      <c r="CG29" s="49"/>
      <c r="CH29" s="49">
        <f t="shared" si="39"/>
        <v>1743.8918750000005</v>
      </c>
      <c r="CI29" s="49"/>
      <c r="CJ29" s="61">
        <f t="shared" si="40"/>
        <v>1743.8918750000005</v>
      </c>
      <c r="CK29" s="49">
        <f t="shared" si="23"/>
        <v>19182.810625000006</v>
      </c>
      <c r="CL29" s="106">
        <f t="shared" si="41"/>
        <v>31390.053750000006</v>
      </c>
    </row>
    <row r="30" spans="1:90" s="62" customFormat="1" ht="14.1" customHeight="1" x14ac:dyDescent="0.25">
      <c r="A30" s="52">
        <v>2</v>
      </c>
      <c r="B30" s="53" t="s">
        <v>101</v>
      </c>
      <c r="C30" s="53" t="s">
        <v>98</v>
      </c>
      <c r="D30" s="54" t="s">
        <v>82</v>
      </c>
      <c r="E30" s="55">
        <v>31.1</v>
      </c>
      <c r="F30" s="54" t="s">
        <v>96</v>
      </c>
      <c r="G30" s="56">
        <f>5.41*17697</f>
        <v>95740.77</v>
      </c>
      <c r="H30" s="49">
        <f t="shared" si="5"/>
        <v>119675.96250000001</v>
      </c>
      <c r="I30" s="48"/>
      <c r="J30" s="48"/>
      <c r="K30" s="48">
        <v>6</v>
      </c>
      <c r="L30" s="48"/>
      <c r="M30" s="48"/>
      <c r="N30" s="48"/>
      <c r="O30" s="48">
        <v>3</v>
      </c>
      <c r="P30" s="48"/>
      <c r="Q30" s="48"/>
      <c r="R30" s="48"/>
      <c r="S30" s="48"/>
      <c r="T30" s="48"/>
      <c r="U30" s="48"/>
      <c r="V30" s="48"/>
      <c r="W30" s="47">
        <f t="shared" si="6"/>
        <v>3</v>
      </c>
      <c r="X30" s="47">
        <f t="shared" si="6"/>
        <v>0</v>
      </c>
      <c r="Y30" s="48"/>
      <c r="Z30" s="48"/>
      <c r="AA30" s="48">
        <v>2</v>
      </c>
      <c r="AB30" s="48"/>
      <c r="AC30" s="47">
        <f t="shared" si="7"/>
        <v>2</v>
      </c>
      <c r="AD30" s="47">
        <f t="shared" si="7"/>
        <v>0</v>
      </c>
      <c r="AE30" s="49">
        <f t="shared" si="24"/>
        <v>0</v>
      </c>
      <c r="AF30" s="49">
        <f t="shared" si="8"/>
        <v>39891.987500000003</v>
      </c>
      <c r="AG30" s="49">
        <f t="shared" si="9"/>
        <v>0</v>
      </c>
      <c r="AH30" s="49">
        <f t="shared" si="10"/>
        <v>19945.993750000001</v>
      </c>
      <c r="AI30" s="49">
        <f t="shared" si="11"/>
        <v>0</v>
      </c>
      <c r="AJ30" s="49">
        <f t="shared" si="12"/>
        <v>0</v>
      </c>
      <c r="AK30" s="49">
        <f t="shared" si="13"/>
        <v>0</v>
      </c>
      <c r="AL30" s="49">
        <f t="shared" si="14"/>
        <v>19945.993750000001</v>
      </c>
      <c r="AM30" s="49">
        <f t="shared" si="15"/>
        <v>0</v>
      </c>
      <c r="AN30" s="49">
        <f t="shared" si="16"/>
        <v>13297.329166666668</v>
      </c>
      <c r="AO30" s="49">
        <f t="shared" si="17"/>
        <v>13297.329166666668</v>
      </c>
      <c r="AP30" s="49">
        <f t="shared" si="18"/>
        <v>73135.310416666674</v>
      </c>
      <c r="AQ30" s="57"/>
      <c r="AR30" s="49">
        <f t="shared" si="25"/>
        <v>0</v>
      </c>
      <c r="AS30" s="57"/>
      <c r="AT30" s="49">
        <f t="shared" si="26"/>
        <v>0</v>
      </c>
      <c r="AU30" s="57"/>
      <c r="AV30" s="49">
        <f t="shared" si="27"/>
        <v>0</v>
      </c>
      <c r="AW30" s="57">
        <v>6</v>
      </c>
      <c r="AX30" s="49">
        <f t="shared" si="19"/>
        <v>1179.8</v>
      </c>
      <c r="AY30" s="57"/>
      <c r="AZ30" s="49">
        <v>3</v>
      </c>
      <c r="BA30" s="57"/>
      <c r="BB30" s="49">
        <f t="shared" si="26"/>
        <v>0</v>
      </c>
      <c r="BC30" s="57"/>
      <c r="BD30" s="49">
        <f t="shared" si="27"/>
        <v>0</v>
      </c>
      <c r="BE30" s="57"/>
      <c r="BF30" s="49">
        <f t="shared" si="19"/>
        <v>0</v>
      </c>
      <c r="BG30" s="57"/>
      <c r="BH30" s="49">
        <v>2</v>
      </c>
      <c r="BI30" s="57"/>
      <c r="BJ30" s="49">
        <f t="shared" si="29"/>
        <v>0</v>
      </c>
      <c r="BK30" s="57"/>
      <c r="BL30" s="49">
        <f t="shared" si="30"/>
        <v>0</v>
      </c>
      <c r="BM30" s="57">
        <v>2</v>
      </c>
      <c r="BN30" s="49">
        <f t="shared" si="31"/>
        <v>393.26666666666665</v>
      </c>
      <c r="BO30" s="58"/>
      <c r="BP30" s="49">
        <f t="shared" si="32"/>
        <v>0</v>
      </c>
      <c r="BQ30" s="58"/>
      <c r="BR30" s="49">
        <f t="shared" si="33"/>
        <v>0</v>
      </c>
      <c r="BS30" s="57"/>
      <c r="BT30" s="49">
        <f t="shared" si="42"/>
        <v>0</v>
      </c>
      <c r="BU30" s="57"/>
      <c r="BV30" s="49">
        <f t="shared" si="43"/>
        <v>0</v>
      </c>
      <c r="BW30" s="56"/>
      <c r="BX30" s="49">
        <f t="shared" si="44"/>
        <v>0</v>
      </c>
      <c r="BY30" s="59"/>
      <c r="BZ30" s="49">
        <f t="shared" si="34"/>
        <v>0</v>
      </c>
      <c r="CA30" s="59"/>
      <c r="CB30" s="49">
        <f t="shared" si="35"/>
        <v>0</v>
      </c>
      <c r="CC30" s="60">
        <v>11</v>
      </c>
      <c r="CD30" s="49">
        <f t="shared" si="36"/>
        <v>29254.124166666668</v>
      </c>
      <c r="CE30" s="57">
        <f t="shared" si="37"/>
        <v>11</v>
      </c>
      <c r="CF30" s="49">
        <f t="shared" si="38"/>
        <v>21940.593124999999</v>
      </c>
      <c r="CG30" s="49"/>
      <c r="CH30" s="49">
        <f t="shared" si="39"/>
        <v>7313.531041666668</v>
      </c>
      <c r="CI30" s="49"/>
      <c r="CJ30" s="61">
        <f t="shared" si="40"/>
        <v>8891.5977083333346</v>
      </c>
      <c r="CK30" s="49">
        <f t="shared" si="23"/>
        <v>82026.908125000016</v>
      </c>
      <c r="CL30" s="106">
        <f t="shared" si="41"/>
        <v>133221.62541666668</v>
      </c>
    </row>
    <row r="31" spans="1:90" s="62" customFormat="1" ht="14.1" customHeight="1" x14ac:dyDescent="0.25">
      <c r="A31" s="52"/>
      <c r="B31" s="53"/>
      <c r="C31" s="53" t="s">
        <v>99</v>
      </c>
      <c r="D31" s="54" t="s">
        <v>82</v>
      </c>
      <c r="E31" s="55">
        <v>31.1</v>
      </c>
      <c r="F31" s="54" t="s">
        <v>93</v>
      </c>
      <c r="G31" s="56">
        <f>4.73*17697</f>
        <v>83706.810000000012</v>
      </c>
      <c r="H31" s="49">
        <f t="shared" si="5"/>
        <v>104633.51250000001</v>
      </c>
      <c r="I31" s="48"/>
      <c r="J31" s="48"/>
      <c r="K31" s="48"/>
      <c r="L31" s="48">
        <v>4</v>
      </c>
      <c r="M31" s="48"/>
      <c r="N31" s="48"/>
      <c r="O31" s="48"/>
      <c r="P31" s="48">
        <v>1</v>
      </c>
      <c r="Q31" s="48"/>
      <c r="R31" s="48"/>
      <c r="S31" s="48"/>
      <c r="T31" s="48"/>
      <c r="U31" s="48"/>
      <c r="V31" s="48"/>
      <c r="W31" s="47">
        <f t="shared" si="6"/>
        <v>0</v>
      </c>
      <c r="X31" s="47">
        <f t="shared" si="6"/>
        <v>1</v>
      </c>
      <c r="Y31" s="48"/>
      <c r="Z31" s="48"/>
      <c r="AA31" s="48"/>
      <c r="AB31" s="48"/>
      <c r="AC31" s="47">
        <f t="shared" si="7"/>
        <v>0</v>
      </c>
      <c r="AD31" s="47">
        <f t="shared" si="7"/>
        <v>0</v>
      </c>
      <c r="AE31" s="49">
        <f t="shared" si="24"/>
        <v>0</v>
      </c>
      <c r="AF31" s="49">
        <f t="shared" si="8"/>
        <v>23251.89166666667</v>
      </c>
      <c r="AG31" s="49">
        <f t="shared" si="9"/>
        <v>0</v>
      </c>
      <c r="AH31" s="49">
        <f t="shared" si="10"/>
        <v>5812.9729166666675</v>
      </c>
      <c r="AI31" s="49">
        <f t="shared" si="11"/>
        <v>0</v>
      </c>
      <c r="AJ31" s="49">
        <f t="shared" si="12"/>
        <v>0</v>
      </c>
      <c r="AK31" s="49">
        <f t="shared" si="13"/>
        <v>0</v>
      </c>
      <c r="AL31" s="49">
        <f t="shared" si="14"/>
        <v>5812.9729166666675</v>
      </c>
      <c r="AM31" s="49">
        <f t="shared" si="15"/>
        <v>0</v>
      </c>
      <c r="AN31" s="49">
        <f t="shared" si="16"/>
        <v>0</v>
      </c>
      <c r="AO31" s="49">
        <f t="shared" si="17"/>
        <v>0</v>
      </c>
      <c r="AP31" s="49">
        <f t="shared" si="18"/>
        <v>29064.864583333336</v>
      </c>
      <c r="AQ31" s="57"/>
      <c r="AR31" s="49">
        <f t="shared" si="25"/>
        <v>0</v>
      </c>
      <c r="AS31" s="57"/>
      <c r="AT31" s="49">
        <f t="shared" si="26"/>
        <v>0</v>
      </c>
      <c r="AU31" s="57"/>
      <c r="AV31" s="49">
        <f t="shared" si="27"/>
        <v>0</v>
      </c>
      <c r="AW31" s="57"/>
      <c r="AX31" s="49">
        <f t="shared" si="19"/>
        <v>0</v>
      </c>
      <c r="AY31" s="57"/>
      <c r="AZ31" s="49">
        <f t="shared" si="25"/>
        <v>0</v>
      </c>
      <c r="BA31" s="57"/>
      <c r="BB31" s="49">
        <f t="shared" si="26"/>
        <v>0</v>
      </c>
      <c r="BC31" s="57"/>
      <c r="BD31" s="49">
        <f t="shared" si="27"/>
        <v>0</v>
      </c>
      <c r="BE31" s="57"/>
      <c r="BF31" s="49">
        <f t="shared" si="19"/>
        <v>0</v>
      </c>
      <c r="BG31" s="57"/>
      <c r="BH31" s="49">
        <f t="shared" si="28"/>
        <v>0</v>
      </c>
      <c r="BI31" s="57"/>
      <c r="BJ31" s="49">
        <f t="shared" si="29"/>
        <v>0</v>
      </c>
      <c r="BK31" s="57"/>
      <c r="BL31" s="49">
        <f t="shared" si="30"/>
        <v>0</v>
      </c>
      <c r="BM31" s="57"/>
      <c r="BN31" s="49">
        <f t="shared" si="31"/>
        <v>0</v>
      </c>
      <c r="BO31" s="58"/>
      <c r="BP31" s="49">
        <f t="shared" si="32"/>
        <v>0</v>
      </c>
      <c r="BQ31" s="58"/>
      <c r="BR31" s="49">
        <f t="shared" si="33"/>
        <v>0</v>
      </c>
      <c r="BS31" s="57"/>
      <c r="BT31" s="49">
        <f t="shared" si="42"/>
        <v>0</v>
      </c>
      <c r="BU31" s="57"/>
      <c r="BV31" s="49">
        <f t="shared" si="43"/>
        <v>0</v>
      </c>
      <c r="BW31" s="56"/>
      <c r="BX31" s="49">
        <f t="shared" si="44"/>
        <v>0</v>
      </c>
      <c r="BY31" s="59"/>
      <c r="BZ31" s="49">
        <f t="shared" si="34"/>
        <v>0</v>
      </c>
      <c r="CA31" s="59"/>
      <c r="CB31" s="49">
        <f t="shared" si="35"/>
        <v>0</v>
      </c>
      <c r="CC31" s="60"/>
      <c r="CD31" s="49">
        <f t="shared" si="36"/>
        <v>0</v>
      </c>
      <c r="CE31" s="57"/>
      <c r="CF31" s="49">
        <f t="shared" si="38"/>
        <v>0</v>
      </c>
      <c r="CG31" s="49"/>
      <c r="CH31" s="49">
        <f t="shared" si="39"/>
        <v>2906.4864583333338</v>
      </c>
      <c r="CI31" s="49"/>
      <c r="CJ31" s="61">
        <f t="shared" si="40"/>
        <v>2906.4864583333338</v>
      </c>
      <c r="CK31" s="49">
        <f t="shared" si="23"/>
        <v>31971.351041666669</v>
      </c>
      <c r="CL31" s="106">
        <f t="shared" si="41"/>
        <v>31971.351041666669</v>
      </c>
    </row>
    <row r="32" spans="1:90" s="62" customFormat="1" ht="14.1" customHeight="1" x14ac:dyDescent="0.25">
      <c r="A32" s="52"/>
      <c r="B32" s="53"/>
      <c r="C32" s="53" t="s">
        <v>113</v>
      </c>
      <c r="D32" s="54"/>
      <c r="E32" s="55">
        <v>31.1</v>
      </c>
      <c r="F32" s="54" t="s">
        <v>96</v>
      </c>
      <c r="G32" s="56">
        <f>5.41*17697</f>
        <v>95740.77</v>
      </c>
      <c r="H32" s="49">
        <f t="shared" ref="H32" si="46">G32*1.25</f>
        <v>119675.96250000001</v>
      </c>
      <c r="I32" s="48">
        <v>1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7">
        <f t="shared" si="6"/>
        <v>0</v>
      </c>
      <c r="X32" s="47">
        <f t="shared" si="6"/>
        <v>0</v>
      </c>
      <c r="Y32" s="48"/>
      <c r="Z32" s="48"/>
      <c r="AA32" s="48"/>
      <c r="AB32" s="48"/>
      <c r="AC32" s="47">
        <f t="shared" si="7"/>
        <v>0</v>
      </c>
      <c r="AD32" s="47">
        <f t="shared" si="7"/>
        <v>0</v>
      </c>
      <c r="AE32" s="49">
        <f t="shared" si="24"/>
        <v>4986.4984375000004</v>
      </c>
      <c r="AF32" s="49">
        <f t="shared" si="8"/>
        <v>0</v>
      </c>
      <c r="AG32" s="49">
        <f t="shared" si="9"/>
        <v>0</v>
      </c>
      <c r="AH32" s="49">
        <f t="shared" si="10"/>
        <v>0</v>
      </c>
      <c r="AI32" s="49">
        <f t="shared" si="11"/>
        <v>0</v>
      </c>
      <c r="AJ32" s="49">
        <f t="shared" si="12"/>
        <v>0</v>
      </c>
      <c r="AK32" s="49">
        <f t="shared" si="13"/>
        <v>0</v>
      </c>
      <c r="AL32" s="49">
        <f t="shared" si="14"/>
        <v>0</v>
      </c>
      <c r="AM32" s="49">
        <f t="shared" si="15"/>
        <v>0</v>
      </c>
      <c r="AN32" s="49">
        <f t="shared" si="16"/>
        <v>0</v>
      </c>
      <c r="AO32" s="49">
        <f t="shared" si="17"/>
        <v>0</v>
      </c>
      <c r="AP32" s="49">
        <f t="shared" si="18"/>
        <v>4986.4984375000004</v>
      </c>
      <c r="AQ32" s="57"/>
      <c r="AR32" s="49">
        <f t="shared" si="25"/>
        <v>0</v>
      </c>
      <c r="AS32" s="57"/>
      <c r="AT32" s="49">
        <f t="shared" si="26"/>
        <v>0</v>
      </c>
      <c r="AU32" s="57"/>
      <c r="AV32" s="49">
        <f t="shared" si="27"/>
        <v>0</v>
      </c>
      <c r="AW32" s="57"/>
      <c r="AX32" s="49">
        <f t="shared" si="19"/>
        <v>0</v>
      </c>
      <c r="AY32" s="57"/>
      <c r="AZ32" s="49">
        <f t="shared" si="25"/>
        <v>0</v>
      </c>
      <c r="BA32" s="57"/>
      <c r="BB32" s="49">
        <f t="shared" si="26"/>
        <v>0</v>
      </c>
      <c r="BC32" s="57"/>
      <c r="BD32" s="49">
        <f t="shared" si="27"/>
        <v>0</v>
      </c>
      <c r="BE32" s="57"/>
      <c r="BF32" s="49">
        <f t="shared" si="19"/>
        <v>0</v>
      </c>
      <c r="BG32" s="57"/>
      <c r="BH32" s="49">
        <f t="shared" si="28"/>
        <v>0</v>
      </c>
      <c r="BI32" s="57"/>
      <c r="BJ32" s="49">
        <f t="shared" si="29"/>
        <v>0</v>
      </c>
      <c r="BK32" s="57"/>
      <c r="BL32" s="49">
        <f t="shared" si="30"/>
        <v>0</v>
      </c>
      <c r="BM32" s="57"/>
      <c r="BN32" s="49">
        <f t="shared" si="31"/>
        <v>0</v>
      </c>
      <c r="BO32" s="58"/>
      <c r="BP32" s="49">
        <f t="shared" si="32"/>
        <v>0</v>
      </c>
      <c r="BQ32" s="58"/>
      <c r="BR32" s="49">
        <f t="shared" si="33"/>
        <v>0</v>
      </c>
      <c r="BS32" s="57"/>
      <c r="BT32" s="49"/>
      <c r="BU32" s="57"/>
      <c r="BV32" s="49"/>
      <c r="BW32" s="56"/>
      <c r="BX32" s="49"/>
      <c r="BY32" s="59"/>
      <c r="BZ32" s="49">
        <f t="shared" si="34"/>
        <v>0</v>
      </c>
      <c r="CA32" s="59"/>
      <c r="CB32" s="49">
        <f t="shared" si="35"/>
        <v>0</v>
      </c>
      <c r="CC32" s="60">
        <v>1</v>
      </c>
      <c r="CD32" s="49">
        <f t="shared" si="36"/>
        <v>2659.4658333333336</v>
      </c>
      <c r="CE32" s="57">
        <f t="shared" si="37"/>
        <v>0</v>
      </c>
      <c r="CF32" s="49">
        <f t="shared" si="38"/>
        <v>0</v>
      </c>
      <c r="CG32" s="49"/>
      <c r="CH32" s="49">
        <f t="shared" si="39"/>
        <v>498.64984375000006</v>
      </c>
      <c r="CI32" s="49"/>
      <c r="CJ32" s="61">
        <f t="shared" si="40"/>
        <v>498.64984375000006</v>
      </c>
      <c r="CK32" s="49">
        <f t="shared" si="23"/>
        <v>5485.1482812500008</v>
      </c>
      <c r="CL32" s="106">
        <f t="shared" si="41"/>
        <v>8144.6141145833344</v>
      </c>
    </row>
    <row r="33" spans="1:90" s="62" customFormat="1" ht="0.75" customHeight="1" x14ac:dyDescent="0.25">
      <c r="A33" s="52"/>
      <c r="B33" s="53"/>
      <c r="C33" s="53"/>
      <c r="D33" s="54"/>
      <c r="E33" s="55"/>
      <c r="F33" s="54"/>
      <c r="G33" s="56"/>
      <c r="H33" s="49">
        <f t="shared" si="5"/>
        <v>0</v>
      </c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7">
        <f t="shared" si="6"/>
        <v>0</v>
      </c>
      <c r="X33" s="47">
        <f t="shared" si="6"/>
        <v>0</v>
      </c>
      <c r="Y33" s="48"/>
      <c r="Z33" s="48"/>
      <c r="AA33" s="48"/>
      <c r="AB33" s="48"/>
      <c r="AC33" s="47">
        <f t="shared" si="7"/>
        <v>0</v>
      </c>
      <c r="AD33" s="47">
        <f t="shared" si="7"/>
        <v>0</v>
      </c>
      <c r="AE33" s="49">
        <f t="shared" si="24"/>
        <v>0</v>
      </c>
      <c r="AF33" s="49">
        <f t="shared" si="8"/>
        <v>0</v>
      </c>
      <c r="AG33" s="49">
        <f t="shared" si="9"/>
        <v>0</v>
      </c>
      <c r="AH33" s="49">
        <f t="shared" si="10"/>
        <v>0</v>
      </c>
      <c r="AI33" s="49">
        <f t="shared" si="11"/>
        <v>0</v>
      </c>
      <c r="AJ33" s="49">
        <f t="shared" si="12"/>
        <v>0</v>
      </c>
      <c r="AK33" s="49">
        <f t="shared" si="13"/>
        <v>0</v>
      </c>
      <c r="AL33" s="49">
        <f t="shared" si="14"/>
        <v>0</v>
      </c>
      <c r="AM33" s="49">
        <f t="shared" si="15"/>
        <v>0</v>
      </c>
      <c r="AN33" s="49">
        <f t="shared" si="16"/>
        <v>0</v>
      </c>
      <c r="AO33" s="49">
        <f t="shared" si="17"/>
        <v>0</v>
      </c>
      <c r="AP33" s="49">
        <f t="shared" si="18"/>
        <v>0</v>
      </c>
      <c r="AQ33" s="57"/>
      <c r="AR33" s="49">
        <f t="shared" si="25"/>
        <v>0</v>
      </c>
      <c r="AS33" s="57"/>
      <c r="AT33" s="49">
        <f t="shared" si="26"/>
        <v>0</v>
      </c>
      <c r="AU33" s="57"/>
      <c r="AV33" s="49">
        <f t="shared" si="27"/>
        <v>0</v>
      </c>
      <c r="AW33" s="57"/>
      <c r="AX33" s="49">
        <f t="shared" si="19"/>
        <v>0</v>
      </c>
      <c r="AY33" s="57"/>
      <c r="AZ33" s="49">
        <f t="shared" si="25"/>
        <v>0</v>
      </c>
      <c r="BA33" s="57"/>
      <c r="BB33" s="49">
        <f t="shared" si="26"/>
        <v>0</v>
      </c>
      <c r="BC33" s="57"/>
      <c r="BD33" s="49">
        <f t="shared" si="27"/>
        <v>0</v>
      </c>
      <c r="BE33" s="57"/>
      <c r="BF33" s="49">
        <f t="shared" si="19"/>
        <v>0</v>
      </c>
      <c r="BG33" s="57"/>
      <c r="BH33" s="49">
        <f t="shared" si="28"/>
        <v>0</v>
      </c>
      <c r="BI33" s="57"/>
      <c r="BJ33" s="49">
        <f t="shared" si="29"/>
        <v>0</v>
      </c>
      <c r="BK33" s="57"/>
      <c r="BL33" s="49">
        <f t="shared" si="30"/>
        <v>0</v>
      </c>
      <c r="BM33" s="57"/>
      <c r="BN33" s="49">
        <f t="shared" si="31"/>
        <v>0</v>
      </c>
      <c r="BO33" s="58"/>
      <c r="BP33" s="49">
        <f t="shared" si="32"/>
        <v>0</v>
      </c>
      <c r="BQ33" s="58"/>
      <c r="BR33" s="49">
        <f t="shared" si="33"/>
        <v>0</v>
      </c>
      <c r="BS33" s="57"/>
      <c r="BT33" s="49"/>
      <c r="BU33" s="57"/>
      <c r="BV33" s="49"/>
      <c r="BW33" s="56"/>
      <c r="BX33" s="49"/>
      <c r="BY33" s="59"/>
      <c r="BZ33" s="49">
        <f t="shared" si="34"/>
        <v>0</v>
      </c>
      <c r="CA33" s="59"/>
      <c r="CB33" s="49">
        <f t="shared" si="35"/>
        <v>0</v>
      </c>
      <c r="CC33" s="60"/>
      <c r="CD33" s="49">
        <f t="shared" si="36"/>
        <v>0</v>
      </c>
      <c r="CE33" s="57">
        <f t="shared" si="37"/>
        <v>0</v>
      </c>
      <c r="CF33" s="49">
        <f t="shared" si="38"/>
        <v>0</v>
      </c>
      <c r="CG33" s="49"/>
      <c r="CH33" s="49">
        <f t="shared" si="39"/>
        <v>0</v>
      </c>
      <c r="CI33" s="49"/>
      <c r="CJ33" s="61">
        <f t="shared" si="40"/>
        <v>0</v>
      </c>
      <c r="CK33" s="49">
        <f t="shared" si="23"/>
        <v>0</v>
      </c>
      <c r="CL33" s="106">
        <f t="shared" si="41"/>
        <v>0</v>
      </c>
    </row>
    <row r="34" spans="1:90" s="140" customFormat="1" x14ac:dyDescent="0.25">
      <c r="A34" s="125">
        <v>4</v>
      </c>
      <c r="B34" s="126" t="s">
        <v>103</v>
      </c>
      <c r="C34" s="127" t="s">
        <v>86</v>
      </c>
      <c r="D34" s="128" t="s">
        <v>82</v>
      </c>
      <c r="E34" s="129">
        <v>8</v>
      </c>
      <c r="F34" s="128" t="s">
        <v>92</v>
      </c>
      <c r="G34" s="130">
        <f>4.79*17697</f>
        <v>84768.63</v>
      </c>
      <c r="H34" s="131">
        <f t="shared" si="5"/>
        <v>105960.78750000001</v>
      </c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3">
        <f t="shared" si="6"/>
        <v>0</v>
      </c>
      <c r="X34" s="133">
        <f t="shared" si="6"/>
        <v>0</v>
      </c>
      <c r="Y34" s="132"/>
      <c r="Z34" s="132"/>
      <c r="AA34" s="132"/>
      <c r="AB34" s="132"/>
      <c r="AC34" s="133">
        <f t="shared" si="7"/>
        <v>0</v>
      </c>
      <c r="AD34" s="133">
        <f t="shared" si="7"/>
        <v>0</v>
      </c>
      <c r="AE34" s="131">
        <f t="shared" si="24"/>
        <v>0</v>
      </c>
      <c r="AF34" s="131">
        <f t="shared" si="8"/>
        <v>0</v>
      </c>
      <c r="AG34" s="131">
        <f t="shared" si="9"/>
        <v>0</v>
      </c>
      <c r="AH34" s="131">
        <f t="shared" si="10"/>
        <v>0</v>
      </c>
      <c r="AI34" s="131">
        <f t="shared" si="11"/>
        <v>0</v>
      </c>
      <c r="AJ34" s="131">
        <f t="shared" si="12"/>
        <v>0</v>
      </c>
      <c r="AK34" s="131">
        <f t="shared" si="13"/>
        <v>0</v>
      </c>
      <c r="AL34" s="131">
        <f t="shared" si="14"/>
        <v>0</v>
      </c>
      <c r="AM34" s="131">
        <f t="shared" si="15"/>
        <v>0</v>
      </c>
      <c r="AN34" s="131">
        <f t="shared" si="16"/>
        <v>0</v>
      </c>
      <c r="AO34" s="131">
        <f t="shared" si="17"/>
        <v>0</v>
      </c>
      <c r="AP34" s="131">
        <f t="shared" si="18"/>
        <v>0</v>
      </c>
      <c r="AQ34" s="134"/>
      <c r="AR34" s="131">
        <f t="shared" si="25"/>
        <v>0</v>
      </c>
      <c r="AS34" s="134"/>
      <c r="AT34" s="131">
        <f t="shared" si="26"/>
        <v>0</v>
      </c>
      <c r="AU34" s="134"/>
      <c r="AV34" s="131">
        <f t="shared" si="27"/>
        <v>0</v>
      </c>
      <c r="AW34" s="134"/>
      <c r="AX34" s="131">
        <f t="shared" si="19"/>
        <v>0</v>
      </c>
      <c r="AY34" s="134"/>
      <c r="AZ34" s="131">
        <f t="shared" si="25"/>
        <v>0</v>
      </c>
      <c r="BA34" s="134"/>
      <c r="BB34" s="131">
        <f t="shared" si="26"/>
        <v>0</v>
      </c>
      <c r="BC34" s="134"/>
      <c r="BD34" s="131">
        <f t="shared" si="27"/>
        <v>0</v>
      </c>
      <c r="BE34" s="134"/>
      <c r="BF34" s="131">
        <f t="shared" si="19"/>
        <v>0</v>
      </c>
      <c r="BG34" s="134"/>
      <c r="BH34" s="131">
        <f t="shared" si="28"/>
        <v>0</v>
      </c>
      <c r="BI34" s="134"/>
      <c r="BJ34" s="131">
        <f t="shared" si="29"/>
        <v>0</v>
      </c>
      <c r="BK34" s="134"/>
      <c r="BL34" s="131">
        <f t="shared" si="30"/>
        <v>0</v>
      </c>
      <c r="BM34" s="134"/>
      <c r="BN34" s="131">
        <f t="shared" si="31"/>
        <v>0</v>
      </c>
      <c r="BO34" s="135">
        <v>0.5</v>
      </c>
      <c r="BP34" s="131">
        <f t="shared" si="32"/>
        <v>5309.1</v>
      </c>
      <c r="BQ34" s="135"/>
      <c r="BR34" s="131">
        <f t="shared" si="33"/>
        <v>0</v>
      </c>
      <c r="BS34" s="134"/>
      <c r="BT34" s="131">
        <f t="shared" ref="BT34" si="47">(17697*25/100)/20*BS34</f>
        <v>0</v>
      </c>
      <c r="BU34" s="134"/>
      <c r="BV34" s="131">
        <f t="shared" ref="BV34" si="48">(17697*25/100)/18*BU34</f>
        <v>0</v>
      </c>
      <c r="BW34" s="130"/>
      <c r="BX34" s="131">
        <f t="shared" ref="BX34" si="49">(17697*20/100)*BW34</f>
        <v>0</v>
      </c>
      <c r="BY34" s="136"/>
      <c r="BZ34" s="131">
        <f t="shared" si="34"/>
        <v>0</v>
      </c>
      <c r="CA34" s="136">
        <v>8</v>
      </c>
      <c r="CB34" s="131">
        <f t="shared" si="35"/>
        <v>16482.789166666669</v>
      </c>
      <c r="CC34" s="137"/>
      <c r="CD34" s="131">
        <f t="shared" si="36"/>
        <v>0</v>
      </c>
      <c r="CE34" s="134">
        <f t="shared" si="37"/>
        <v>0</v>
      </c>
      <c r="CF34" s="131">
        <f t="shared" si="38"/>
        <v>0</v>
      </c>
      <c r="CG34" s="131"/>
      <c r="CH34" s="131">
        <f t="shared" si="39"/>
        <v>0</v>
      </c>
      <c r="CI34" s="131"/>
      <c r="CJ34" s="138">
        <f t="shared" si="40"/>
        <v>5309.1</v>
      </c>
      <c r="CK34" s="131">
        <f t="shared" si="23"/>
        <v>5309.1</v>
      </c>
      <c r="CL34" s="139">
        <f t="shared" si="41"/>
        <v>21791.889166666668</v>
      </c>
    </row>
    <row r="35" spans="1:90" s="62" customFormat="1" x14ac:dyDescent="0.25">
      <c r="A35" s="52"/>
      <c r="B35" s="53"/>
      <c r="C35" s="76" t="s">
        <v>117</v>
      </c>
      <c r="D35" s="54"/>
      <c r="E35" s="55">
        <v>8</v>
      </c>
      <c r="F35" s="54" t="s">
        <v>95</v>
      </c>
      <c r="G35" s="56">
        <f>3.53*17697</f>
        <v>62470.409999999996</v>
      </c>
      <c r="H35" s="49">
        <f t="shared" si="5"/>
        <v>78088.012499999997</v>
      </c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7">
        <f t="shared" si="6"/>
        <v>0</v>
      </c>
      <c r="X35" s="47">
        <f t="shared" si="6"/>
        <v>0</v>
      </c>
      <c r="Y35" s="48"/>
      <c r="Z35" s="48"/>
      <c r="AA35" s="48"/>
      <c r="AB35" s="48"/>
      <c r="AC35" s="47">
        <f t="shared" si="7"/>
        <v>0</v>
      </c>
      <c r="AD35" s="47">
        <f t="shared" si="7"/>
        <v>0</v>
      </c>
      <c r="AE35" s="49">
        <f t="shared" si="24"/>
        <v>0</v>
      </c>
      <c r="AF35" s="49">
        <f t="shared" si="8"/>
        <v>0</v>
      </c>
      <c r="AG35" s="49">
        <f t="shared" si="9"/>
        <v>0</v>
      </c>
      <c r="AH35" s="49">
        <f t="shared" si="10"/>
        <v>0</v>
      </c>
      <c r="AI35" s="49">
        <f t="shared" si="11"/>
        <v>0</v>
      </c>
      <c r="AJ35" s="49">
        <f t="shared" si="12"/>
        <v>0</v>
      </c>
      <c r="AK35" s="49">
        <f t="shared" si="13"/>
        <v>0</v>
      </c>
      <c r="AL35" s="49">
        <f t="shared" si="14"/>
        <v>0</v>
      </c>
      <c r="AM35" s="49">
        <f t="shared" si="15"/>
        <v>0</v>
      </c>
      <c r="AN35" s="49">
        <f t="shared" si="16"/>
        <v>0</v>
      </c>
      <c r="AO35" s="49">
        <f t="shared" si="17"/>
        <v>0</v>
      </c>
      <c r="AP35" s="49">
        <f t="shared" si="18"/>
        <v>0</v>
      </c>
      <c r="AQ35" s="57"/>
      <c r="AR35" s="49">
        <f t="shared" si="25"/>
        <v>0</v>
      </c>
      <c r="AS35" s="57"/>
      <c r="AT35" s="49">
        <f t="shared" si="26"/>
        <v>0</v>
      </c>
      <c r="AU35" s="57"/>
      <c r="AV35" s="49">
        <f t="shared" si="27"/>
        <v>0</v>
      </c>
      <c r="AW35" s="57"/>
      <c r="AX35" s="49">
        <f t="shared" si="19"/>
        <v>0</v>
      </c>
      <c r="AY35" s="57"/>
      <c r="AZ35" s="49">
        <f t="shared" si="25"/>
        <v>0</v>
      </c>
      <c r="BA35" s="57"/>
      <c r="BB35" s="49">
        <f t="shared" si="26"/>
        <v>0</v>
      </c>
      <c r="BC35" s="57"/>
      <c r="BD35" s="49">
        <f t="shared" si="27"/>
        <v>0</v>
      </c>
      <c r="BE35" s="57"/>
      <c r="BF35" s="49">
        <f t="shared" si="19"/>
        <v>0</v>
      </c>
      <c r="BG35" s="57"/>
      <c r="BH35" s="49">
        <f t="shared" si="28"/>
        <v>0</v>
      </c>
      <c r="BI35" s="57"/>
      <c r="BJ35" s="49">
        <f t="shared" si="29"/>
        <v>0</v>
      </c>
      <c r="BK35" s="57"/>
      <c r="BL35" s="49">
        <f t="shared" si="30"/>
        <v>0</v>
      </c>
      <c r="BM35" s="57"/>
      <c r="BN35" s="49">
        <f t="shared" si="31"/>
        <v>0</v>
      </c>
      <c r="BO35" s="58"/>
      <c r="BP35" s="49">
        <f t="shared" si="32"/>
        <v>0</v>
      </c>
      <c r="BQ35" s="58"/>
      <c r="BR35" s="49">
        <f t="shared" si="33"/>
        <v>0</v>
      </c>
      <c r="BS35" s="57"/>
      <c r="BT35" s="49"/>
      <c r="BU35" s="57"/>
      <c r="BV35" s="49"/>
      <c r="BW35" s="56"/>
      <c r="BX35" s="49"/>
      <c r="BY35" s="59"/>
      <c r="BZ35" s="49">
        <f t="shared" si="34"/>
        <v>0</v>
      </c>
      <c r="CA35" s="59"/>
      <c r="CB35" s="49">
        <f t="shared" si="35"/>
        <v>0</v>
      </c>
      <c r="CC35" s="60"/>
      <c r="CD35" s="49">
        <f t="shared" si="36"/>
        <v>0</v>
      </c>
      <c r="CE35" s="57">
        <f t="shared" si="37"/>
        <v>0</v>
      </c>
      <c r="CF35" s="49">
        <f t="shared" si="38"/>
        <v>0</v>
      </c>
      <c r="CG35" s="49"/>
      <c r="CH35" s="49">
        <f t="shared" si="39"/>
        <v>0</v>
      </c>
      <c r="CI35" s="49"/>
      <c r="CJ35" s="61">
        <f t="shared" si="40"/>
        <v>0</v>
      </c>
      <c r="CK35" s="49">
        <f t="shared" si="23"/>
        <v>0</v>
      </c>
      <c r="CL35" s="106">
        <f t="shared" si="41"/>
        <v>0</v>
      </c>
    </row>
    <row r="36" spans="1:90" s="62" customFormat="1" x14ac:dyDescent="0.25">
      <c r="A36" s="52">
        <v>5</v>
      </c>
      <c r="B36" s="53" t="s">
        <v>104</v>
      </c>
      <c r="C36" s="53" t="s">
        <v>90</v>
      </c>
      <c r="D36" s="54" t="s">
        <v>82</v>
      </c>
      <c r="E36" s="55">
        <v>29</v>
      </c>
      <c r="F36" s="54" t="s">
        <v>96</v>
      </c>
      <c r="G36" s="56">
        <f>5.41*17697</f>
        <v>95740.77</v>
      </c>
      <c r="H36" s="49">
        <f t="shared" si="5"/>
        <v>119675.96250000001</v>
      </c>
      <c r="I36" s="48"/>
      <c r="J36" s="48"/>
      <c r="K36" s="48"/>
      <c r="L36" s="48"/>
      <c r="M36" s="48"/>
      <c r="N36" s="48"/>
      <c r="O36" s="48">
        <v>5</v>
      </c>
      <c r="P36" s="48"/>
      <c r="Q36" s="48">
        <v>5</v>
      </c>
      <c r="R36" s="48"/>
      <c r="S36" s="48"/>
      <c r="T36" s="48"/>
      <c r="U36" s="48">
        <v>5</v>
      </c>
      <c r="V36" s="48"/>
      <c r="W36" s="47">
        <f t="shared" si="6"/>
        <v>15</v>
      </c>
      <c r="X36" s="47">
        <f t="shared" si="6"/>
        <v>0</v>
      </c>
      <c r="Y36" s="48"/>
      <c r="Z36" s="48"/>
      <c r="AA36" s="48">
        <v>3</v>
      </c>
      <c r="AB36" s="48"/>
      <c r="AC36" s="47">
        <f t="shared" si="7"/>
        <v>3</v>
      </c>
      <c r="AD36" s="47">
        <f t="shared" si="7"/>
        <v>0</v>
      </c>
      <c r="AE36" s="49">
        <f t="shared" si="24"/>
        <v>0</v>
      </c>
      <c r="AF36" s="49">
        <f t="shared" si="8"/>
        <v>0</v>
      </c>
      <c r="AG36" s="49">
        <f t="shared" si="9"/>
        <v>0</v>
      </c>
      <c r="AH36" s="49">
        <f t="shared" si="10"/>
        <v>33243.322916666672</v>
      </c>
      <c r="AI36" s="49">
        <f t="shared" si="11"/>
        <v>33243.322916666672</v>
      </c>
      <c r="AJ36" s="49">
        <f t="shared" si="12"/>
        <v>0</v>
      </c>
      <c r="AK36" s="49">
        <f t="shared" si="13"/>
        <v>33243.322916666672</v>
      </c>
      <c r="AL36" s="49">
        <f t="shared" si="14"/>
        <v>99729.968750000015</v>
      </c>
      <c r="AM36" s="49">
        <f t="shared" si="15"/>
        <v>0</v>
      </c>
      <c r="AN36" s="49">
        <f t="shared" si="16"/>
        <v>19945.993750000001</v>
      </c>
      <c r="AO36" s="49">
        <f t="shared" si="17"/>
        <v>19945.993750000001</v>
      </c>
      <c r="AP36" s="49">
        <f t="shared" si="18"/>
        <v>119675.96250000002</v>
      </c>
      <c r="AQ36" s="57"/>
      <c r="AR36" s="49">
        <f t="shared" si="25"/>
        <v>0</v>
      </c>
      <c r="AS36" s="57"/>
      <c r="AT36" s="49">
        <f t="shared" si="26"/>
        <v>0</v>
      </c>
      <c r="AU36" s="57"/>
      <c r="AV36" s="49">
        <f t="shared" si="27"/>
        <v>0</v>
      </c>
      <c r="AW36" s="57"/>
      <c r="AX36" s="49">
        <f t="shared" si="19"/>
        <v>0</v>
      </c>
      <c r="AY36" s="57"/>
      <c r="AZ36" s="49">
        <f t="shared" si="25"/>
        <v>0</v>
      </c>
      <c r="BA36" s="57">
        <v>15</v>
      </c>
      <c r="BB36" s="49">
        <f t="shared" si="26"/>
        <v>3686.875</v>
      </c>
      <c r="BC36" s="57"/>
      <c r="BD36" s="49">
        <f t="shared" si="27"/>
        <v>0</v>
      </c>
      <c r="BE36" s="57"/>
      <c r="BF36" s="49">
        <f t="shared" si="19"/>
        <v>0</v>
      </c>
      <c r="BG36" s="57"/>
      <c r="BH36" s="49">
        <f t="shared" si="28"/>
        <v>0</v>
      </c>
      <c r="BI36" s="57">
        <v>3</v>
      </c>
      <c r="BJ36" s="49">
        <f t="shared" si="29"/>
        <v>737.375</v>
      </c>
      <c r="BK36" s="57"/>
      <c r="BL36" s="49">
        <f t="shared" si="30"/>
        <v>0</v>
      </c>
      <c r="BM36" s="57"/>
      <c r="BN36" s="49">
        <f t="shared" si="31"/>
        <v>0</v>
      </c>
      <c r="BO36" s="58">
        <v>0.5</v>
      </c>
      <c r="BP36" s="49">
        <f t="shared" si="32"/>
        <v>5309.1</v>
      </c>
      <c r="BQ36" s="58"/>
      <c r="BR36" s="49">
        <f t="shared" si="33"/>
        <v>0</v>
      </c>
      <c r="BS36" s="57"/>
      <c r="BT36" s="49">
        <f t="shared" si="42"/>
        <v>0</v>
      </c>
      <c r="BU36" s="57"/>
      <c r="BV36" s="49">
        <f t="shared" si="43"/>
        <v>0</v>
      </c>
      <c r="BW36" s="56"/>
      <c r="BX36" s="49">
        <f t="shared" si="44"/>
        <v>0</v>
      </c>
      <c r="BY36" s="59"/>
      <c r="BZ36" s="49">
        <f t="shared" si="34"/>
        <v>0</v>
      </c>
      <c r="CA36" s="59"/>
      <c r="CB36" s="49">
        <f t="shared" si="35"/>
        <v>0</v>
      </c>
      <c r="CC36" s="60">
        <v>18</v>
      </c>
      <c r="CD36" s="49">
        <f t="shared" si="36"/>
        <v>47870.385000000009</v>
      </c>
      <c r="CE36" s="57">
        <f t="shared" si="37"/>
        <v>18</v>
      </c>
      <c r="CF36" s="49">
        <f t="shared" si="38"/>
        <v>35902.78875</v>
      </c>
      <c r="CG36" s="49"/>
      <c r="CH36" s="49">
        <f t="shared" si="39"/>
        <v>11967.596250000002</v>
      </c>
      <c r="CI36" s="49">
        <v>17697</v>
      </c>
      <c r="CJ36" s="61">
        <f t="shared" si="40"/>
        <v>21700.946250000001</v>
      </c>
      <c r="CK36" s="49">
        <f t="shared" si="23"/>
        <v>141376.90875000003</v>
      </c>
      <c r="CL36" s="106">
        <f t="shared" si="41"/>
        <v>242847.08250000005</v>
      </c>
    </row>
    <row r="37" spans="1:90" s="62" customFormat="1" x14ac:dyDescent="0.25">
      <c r="A37" s="52"/>
      <c r="B37" s="101"/>
      <c r="C37" s="101" t="s">
        <v>106</v>
      </c>
      <c r="D37" s="54" t="s">
        <v>82</v>
      </c>
      <c r="E37" s="55">
        <v>29</v>
      </c>
      <c r="F37" s="54" t="s">
        <v>96</v>
      </c>
      <c r="G37" s="56">
        <f>6.7625*17697</f>
        <v>119675.96250000001</v>
      </c>
      <c r="H37" s="49">
        <f t="shared" si="5"/>
        <v>149594.953125</v>
      </c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>
        <v>1</v>
      </c>
      <c r="W37" s="47">
        <f t="shared" si="6"/>
        <v>0</v>
      </c>
      <c r="X37" s="47">
        <f t="shared" si="6"/>
        <v>1</v>
      </c>
      <c r="Y37" s="48">
        <v>0</v>
      </c>
      <c r="Z37" s="48"/>
      <c r="AA37" s="48"/>
      <c r="AB37" s="48">
        <v>1</v>
      </c>
      <c r="AC37" s="47">
        <f t="shared" si="7"/>
        <v>0</v>
      </c>
      <c r="AD37" s="47">
        <f t="shared" si="7"/>
        <v>1</v>
      </c>
      <c r="AE37" s="49">
        <f t="shared" si="24"/>
        <v>0</v>
      </c>
      <c r="AF37" s="49">
        <f t="shared" si="8"/>
        <v>0</v>
      </c>
      <c r="AG37" s="49">
        <f t="shared" si="9"/>
        <v>0</v>
      </c>
      <c r="AH37" s="49">
        <f t="shared" si="10"/>
        <v>0</v>
      </c>
      <c r="AI37" s="49">
        <f t="shared" si="11"/>
        <v>0</v>
      </c>
      <c r="AJ37" s="49">
        <f t="shared" si="12"/>
        <v>0</v>
      </c>
      <c r="AK37" s="49">
        <f t="shared" si="13"/>
        <v>8310.8307291666661</v>
      </c>
      <c r="AL37" s="49">
        <f t="shared" si="14"/>
        <v>8310.8307291666661</v>
      </c>
      <c r="AM37" s="49">
        <f t="shared" si="15"/>
        <v>0</v>
      </c>
      <c r="AN37" s="49">
        <f t="shared" si="16"/>
        <v>8310.8307291666661</v>
      </c>
      <c r="AO37" s="49">
        <f t="shared" si="17"/>
        <v>8310.8307291666661</v>
      </c>
      <c r="AP37" s="49">
        <f t="shared" si="18"/>
        <v>16621.661458333332</v>
      </c>
      <c r="AQ37" s="57"/>
      <c r="AR37" s="49">
        <f t="shared" si="25"/>
        <v>0</v>
      </c>
      <c r="AS37" s="57"/>
      <c r="AT37" s="49">
        <f t="shared" si="26"/>
        <v>0</v>
      </c>
      <c r="AU37" s="57"/>
      <c r="AV37" s="49">
        <f t="shared" si="27"/>
        <v>0</v>
      </c>
      <c r="AW37" s="57"/>
      <c r="AX37" s="49">
        <f t="shared" si="19"/>
        <v>0</v>
      </c>
      <c r="AY37" s="57"/>
      <c r="AZ37" s="49">
        <f t="shared" si="25"/>
        <v>0</v>
      </c>
      <c r="BA37" s="57"/>
      <c r="BB37" s="49">
        <f t="shared" si="26"/>
        <v>0</v>
      </c>
      <c r="BC37" s="57"/>
      <c r="BD37" s="49">
        <f t="shared" si="27"/>
        <v>0</v>
      </c>
      <c r="BE37" s="57"/>
      <c r="BF37" s="49">
        <f t="shared" si="19"/>
        <v>0</v>
      </c>
      <c r="BG37" s="57"/>
      <c r="BH37" s="49">
        <f t="shared" si="28"/>
        <v>0</v>
      </c>
      <c r="BI37" s="57"/>
      <c r="BJ37" s="49">
        <f t="shared" si="29"/>
        <v>0</v>
      </c>
      <c r="BK37" s="57"/>
      <c r="BL37" s="49">
        <f t="shared" si="30"/>
        <v>0</v>
      </c>
      <c r="BM37" s="57"/>
      <c r="BN37" s="49">
        <f t="shared" si="31"/>
        <v>0</v>
      </c>
      <c r="BO37" s="58"/>
      <c r="BP37" s="49">
        <f t="shared" si="32"/>
        <v>0</v>
      </c>
      <c r="BQ37" s="58"/>
      <c r="BR37" s="49">
        <f t="shared" si="33"/>
        <v>0</v>
      </c>
      <c r="BS37" s="57"/>
      <c r="BT37" s="49">
        <f t="shared" si="42"/>
        <v>0</v>
      </c>
      <c r="BU37" s="57"/>
      <c r="BV37" s="49">
        <f t="shared" si="43"/>
        <v>0</v>
      </c>
      <c r="BW37" s="56"/>
      <c r="BX37" s="49">
        <f t="shared" si="44"/>
        <v>0</v>
      </c>
      <c r="BY37" s="59"/>
      <c r="BZ37" s="49">
        <f t="shared" si="34"/>
        <v>0</v>
      </c>
      <c r="CA37" s="59"/>
      <c r="CB37" s="49">
        <f t="shared" si="35"/>
        <v>0</v>
      </c>
      <c r="CC37" s="60">
        <v>2</v>
      </c>
      <c r="CD37" s="49">
        <f t="shared" si="36"/>
        <v>6648.6645833333341</v>
      </c>
      <c r="CE37" s="57">
        <f t="shared" si="37"/>
        <v>2</v>
      </c>
      <c r="CF37" s="49">
        <f t="shared" si="38"/>
        <v>4986.4984375000004</v>
      </c>
      <c r="CG37" s="49"/>
      <c r="CH37" s="49">
        <f t="shared" si="39"/>
        <v>1662.1661458333333</v>
      </c>
      <c r="CI37" s="49"/>
      <c r="CJ37" s="61">
        <f t="shared" si="40"/>
        <v>1662.1661458333333</v>
      </c>
      <c r="CK37" s="49">
        <f t="shared" si="23"/>
        <v>18283.827604166665</v>
      </c>
      <c r="CL37" s="106">
        <f t="shared" si="41"/>
        <v>29918.990625000002</v>
      </c>
    </row>
    <row r="38" spans="1:90" s="62" customFormat="1" x14ac:dyDescent="0.25">
      <c r="A38" s="63">
        <v>6</v>
      </c>
      <c r="B38" s="53" t="s">
        <v>107</v>
      </c>
      <c r="C38" s="53" t="s">
        <v>84</v>
      </c>
      <c r="D38" s="54" t="s">
        <v>82</v>
      </c>
      <c r="E38" s="64">
        <v>12.1</v>
      </c>
      <c r="F38" s="54" t="s">
        <v>94</v>
      </c>
      <c r="G38" s="56">
        <f>4.81*17697</f>
        <v>85122.569999999992</v>
      </c>
      <c r="H38" s="49">
        <f t="shared" si="5"/>
        <v>106403.21249999999</v>
      </c>
      <c r="I38" s="48"/>
      <c r="J38" s="48"/>
      <c r="K38" s="48"/>
      <c r="L38" s="48"/>
      <c r="M38" s="48"/>
      <c r="N38" s="48"/>
      <c r="O38" s="48">
        <v>2</v>
      </c>
      <c r="P38" s="48">
        <v>1</v>
      </c>
      <c r="Q38" s="48">
        <v>2</v>
      </c>
      <c r="R38" s="48"/>
      <c r="S38" s="48"/>
      <c r="T38" s="48"/>
      <c r="U38" s="48">
        <v>2</v>
      </c>
      <c r="V38" s="48"/>
      <c r="W38" s="47">
        <f t="shared" si="6"/>
        <v>6</v>
      </c>
      <c r="X38" s="47">
        <f t="shared" si="6"/>
        <v>1</v>
      </c>
      <c r="Y38" s="48"/>
      <c r="Z38" s="48"/>
      <c r="AA38" s="48"/>
      <c r="AB38" s="48">
        <v>1</v>
      </c>
      <c r="AC38" s="47">
        <f t="shared" si="7"/>
        <v>0</v>
      </c>
      <c r="AD38" s="47">
        <f t="shared" si="7"/>
        <v>1</v>
      </c>
      <c r="AE38" s="49">
        <f t="shared" si="24"/>
        <v>0</v>
      </c>
      <c r="AF38" s="49">
        <f t="shared" si="8"/>
        <v>0</v>
      </c>
      <c r="AG38" s="49">
        <f t="shared" si="9"/>
        <v>0</v>
      </c>
      <c r="AH38" s="49">
        <f t="shared" si="10"/>
        <v>17733.868750000001</v>
      </c>
      <c r="AI38" s="49">
        <f t="shared" si="11"/>
        <v>11822.579166666666</v>
      </c>
      <c r="AJ38" s="49">
        <f t="shared" si="12"/>
        <v>0</v>
      </c>
      <c r="AK38" s="49">
        <f t="shared" si="13"/>
        <v>11822.579166666666</v>
      </c>
      <c r="AL38" s="49">
        <f t="shared" si="14"/>
        <v>41379.027083333334</v>
      </c>
      <c r="AM38" s="49">
        <f t="shared" si="15"/>
        <v>0</v>
      </c>
      <c r="AN38" s="49">
        <f t="shared" si="16"/>
        <v>5911.2895833333332</v>
      </c>
      <c r="AO38" s="49">
        <f t="shared" si="17"/>
        <v>5911.2895833333332</v>
      </c>
      <c r="AP38" s="49">
        <f t="shared" si="18"/>
        <v>47290.316666666666</v>
      </c>
      <c r="AQ38" s="57"/>
      <c r="AR38" s="49">
        <f t="shared" si="25"/>
        <v>0</v>
      </c>
      <c r="AS38" s="57"/>
      <c r="AT38" s="49">
        <f t="shared" si="26"/>
        <v>0</v>
      </c>
      <c r="AU38" s="57"/>
      <c r="AV38" s="49">
        <f t="shared" si="27"/>
        <v>0</v>
      </c>
      <c r="AW38" s="57"/>
      <c r="AX38" s="49">
        <f t="shared" si="19"/>
        <v>0</v>
      </c>
      <c r="AY38" s="57"/>
      <c r="AZ38" s="49">
        <f t="shared" si="25"/>
        <v>0</v>
      </c>
      <c r="BA38" s="57"/>
      <c r="BB38" s="49">
        <f t="shared" si="26"/>
        <v>0</v>
      </c>
      <c r="BC38" s="57"/>
      <c r="BD38" s="49">
        <f t="shared" si="27"/>
        <v>0</v>
      </c>
      <c r="BE38" s="57">
        <v>6</v>
      </c>
      <c r="BF38" s="49">
        <f t="shared" si="19"/>
        <v>1179.8</v>
      </c>
      <c r="BG38" s="57"/>
      <c r="BH38" s="49">
        <f t="shared" si="28"/>
        <v>0</v>
      </c>
      <c r="BI38" s="57"/>
      <c r="BJ38" s="49">
        <f t="shared" si="29"/>
        <v>0</v>
      </c>
      <c r="BK38" s="57"/>
      <c r="BL38" s="49">
        <f t="shared" si="30"/>
        <v>0</v>
      </c>
      <c r="BM38" s="57"/>
      <c r="BN38" s="49">
        <f t="shared" si="31"/>
        <v>0</v>
      </c>
      <c r="BO38" s="83">
        <v>0.5</v>
      </c>
      <c r="BP38" s="49">
        <f t="shared" si="32"/>
        <v>5309.1</v>
      </c>
      <c r="BQ38" s="58"/>
      <c r="BR38" s="49">
        <f t="shared" si="33"/>
        <v>0</v>
      </c>
      <c r="BS38" s="57"/>
      <c r="BT38" s="49">
        <f t="shared" si="42"/>
        <v>0</v>
      </c>
      <c r="BU38" s="57"/>
      <c r="BV38" s="49">
        <f t="shared" si="43"/>
        <v>0</v>
      </c>
      <c r="BW38" s="56"/>
      <c r="BX38" s="49">
        <f t="shared" si="44"/>
        <v>0</v>
      </c>
      <c r="BY38" s="59">
        <v>8</v>
      </c>
      <c r="BZ38" s="49">
        <f t="shared" si="34"/>
        <v>14187.094999999998</v>
      </c>
      <c r="CA38" s="59"/>
      <c r="CB38" s="49">
        <f t="shared" si="35"/>
        <v>0</v>
      </c>
      <c r="CC38" s="60"/>
      <c r="CD38" s="49">
        <f t="shared" si="36"/>
        <v>0</v>
      </c>
      <c r="CE38" s="57">
        <f t="shared" si="37"/>
        <v>8</v>
      </c>
      <c r="CF38" s="49">
        <f t="shared" si="38"/>
        <v>14187.094999999998</v>
      </c>
      <c r="CG38" s="49"/>
      <c r="CH38" s="49">
        <f t="shared" si="39"/>
        <v>4729.0316666666668</v>
      </c>
      <c r="CI38" s="49"/>
      <c r="CJ38" s="61">
        <f t="shared" si="40"/>
        <v>11217.931666666667</v>
      </c>
      <c r="CK38" s="49">
        <f t="shared" si="23"/>
        <v>58508.248333333337</v>
      </c>
      <c r="CL38" s="106">
        <f t="shared" si="41"/>
        <v>86882.438333333339</v>
      </c>
    </row>
    <row r="39" spans="1:90" s="62" customFormat="1" x14ac:dyDescent="0.25">
      <c r="A39" s="52"/>
      <c r="B39" s="53"/>
      <c r="C39" s="53" t="s">
        <v>85</v>
      </c>
      <c r="D39" s="54" t="s">
        <v>77</v>
      </c>
      <c r="E39" s="64">
        <v>12.1</v>
      </c>
      <c r="F39" s="54" t="s">
        <v>93</v>
      </c>
      <c r="G39" s="56">
        <f>4.38*17697</f>
        <v>77512.86</v>
      </c>
      <c r="H39" s="49">
        <f t="shared" si="5"/>
        <v>96891.074999999997</v>
      </c>
      <c r="I39" s="65"/>
      <c r="J39" s="65"/>
      <c r="K39" s="65"/>
      <c r="L39" s="65"/>
      <c r="M39" s="65"/>
      <c r="N39" s="65"/>
      <c r="O39" s="65"/>
      <c r="P39" s="65"/>
      <c r="Q39" s="65">
        <v>1</v>
      </c>
      <c r="R39" s="65">
        <v>1</v>
      </c>
      <c r="S39" s="65"/>
      <c r="T39" s="65"/>
      <c r="U39" s="65">
        <v>2</v>
      </c>
      <c r="V39" s="65">
        <v>1</v>
      </c>
      <c r="W39" s="47">
        <f t="shared" si="6"/>
        <v>3</v>
      </c>
      <c r="X39" s="47">
        <f t="shared" si="6"/>
        <v>2</v>
      </c>
      <c r="Y39" s="65"/>
      <c r="Z39" s="65"/>
      <c r="AA39" s="65"/>
      <c r="AB39" s="65">
        <v>1</v>
      </c>
      <c r="AC39" s="47">
        <f t="shared" si="7"/>
        <v>0</v>
      </c>
      <c r="AD39" s="47">
        <f t="shared" si="7"/>
        <v>1</v>
      </c>
      <c r="AE39" s="49">
        <f t="shared" si="24"/>
        <v>0</v>
      </c>
      <c r="AF39" s="49">
        <f t="shared" si="8"/>
        <v>0</v>
      </c>
      <c r="AG39" s="49">
        <f t="shared" si="9"/>
        <v>0</v>
      </c>
      <c r="AH39" s="49">
        <f t="shared" si="10"/>
        <v>0</v>
      </c>
      <c r="AI39" s="49">
        <f t="shared" si="11"/>
        <v>10765.674999999999</v>
      </c>
      <c r="AJ39" s="49">
        <f t="shared" si="12"/>
        <v>0</v>
      </c>
      <c r="AK39" s="49">
        <f t="shared" si="13"/>
        <v>16148.512499999999</v>
      </c>
      <c r="AL39" s="49">
        <f t="shared" si="14"/>
        <v>26914.1875</v>
      </c>
      <c r="AM39" s="49">
        <f t="shared" si="15"/>
        <v>0</v>
      </c>
      <c r="AN39" s="49">
        <f t="shared" si="16"/>
        <v>5382.8374999999996</v>
      </c>
      <c r="AO39" s="49">
        <f t="shared" si="17"/>
        <v>5382.8374999999996</v>
      </c>
      <c r="AP39" s="49">
        <f t="shared" si="18"/>
        <v>32297.025000000001</v>
      </c>
      <c r="AQ39" s="57"/>
      <c r="AR39" s="49">
        <f t="shared" si="25"/>
        <v>0</v>
      </c>
      <c r="AS39" s="57"/>
      <c r="AT39" s="49">
        <f t="shared" si="26"/>
        <v>0</v>
      </c>
      <c r="AU39" s="57"/>
      <c r="AV39" s="49">
        <f t="shared" si="27"/>
        <v>0</v>
      </c>
      <c r="AW39" s="57"/>
      <c r="AX39" s="49">
        <f t="shared" si="19"/>
        <v>0</v>
      </c>
      <c r="AY39" s="57"/>
      <c r="AZ39" s="49">
        <f t="shared" si="25"/>
        <v>0</v>
      </c>
      <c r="BA39" s="57"/>
      <c r="BB39" s="49">
        <f t="shared" si="26"/>
        <v>0</v>
      </c>
      <c r="BC39" s="57"/>
      <c r="BD39" s="49">
        <f t="shared" si="27"/>
        <v>0</v>
      </c>
      <c r="BE39" s="57">
        <v>3</v>
      </c>
      <c r="BF39" s="49">
        <f t="shared" si="19"/>
        <v>589.9</v>
      </c>
      <c r="BG39" s="57"/>
      <c r="BH39" s="49">
        <f t="shared" si="28"/>
        <v>0</v>
      </c>
      <c r="BI39" s="57"/>
      <c r="BJ39" s="49">
        <f t="shared" si="29"/>
        <v>0</v>
      </c>
      <c r="BK39" s="57"/>
      <c r="BL39" s="49">
        <f t="shared" si="30"/>
        <v>0</v>
      </c>
      <c r="BM39" s="57"/>
      <c r="BN39" s="49">
        <f t="shared" si="31"/>
        <v>0</v>
      </c>
      <c r="BO39" s="58"/>
      <c r="BP39" s="49">
        <f t="shared" si="32"/>
        <v>0</v>
      </c>
      <c r="BQ39" s="58"/>
      <c r="BR39" s="49">
        <f t="shared" si="33"/>
        <v>0</v>
      </c>
      <c r="BS39" s="57"/>
      <c r="BT39" s="49">
        <f t="shared" si="42"/>
        <v>0</v>
      </c>
      <c r="BU39" s="57"/>
      <c r="BV39" s="49">
        <f t="shared" si="43"/>
        <v>0</v>
      </c>
      <c r="BW39" s="56"/>
      <c r="BX39" s="49">
        <f t="shared" si="44"/>
        <v>0</v>
      </c>
      <c r="BY39" s="59"/>
      <c r="BZ39" s="49">
        <f t="shared" si="34"/>
        <v>0</v>
      </c>
      <c r="CA39" s="59"/>
      <c r="CB39" s="49">
        <f t="shared" si="35"/>
        <v>0</v>
      </c>
      <c r="CC39" s="60"/>
      <c r="CD39" s="49">
        <f t="shared" si="36"/>
        <v>0</v>
      </c>
      <c r="CE39" s="57">
        <f t="shared" si="37"/>
        <v>6</v>
      </c>
      <c r="CF39" s="49">
        <f t="shared" si="38"/>
        <v>9689.1075000000001</v>
      </c>
      <c r="CG39" s="49"/>
      <c r="CH39" s="49">
        <f t="shared" si="39"/>
        <v>3229.7025000000003</v>
      </c>
      <c r="CI39" s="49"/>
      <c r="CJ39" s="61">
        <f t="shared" si="40"/>
        <v>3819.6025000000004</v>
      </c>
      <c r="CK39" s="49">
        <f t="shared" si="23"/>
        <v>36116.627500000002</v>
      </c>
      <c r="CL39" s="106">
        <f t="shared" si="41"/>
        <v>45805.735000000001</v>
      </c>
    </row>
    <row r="40" spans="1:90" s="62" customFormat="1" x14ac:dyDescent="0.25">
      <c r="A40" s="52">
        <v>8</v>
      </c>
      <c r="B40" s="53" t="s">
        <v>139</v>
      </c>
      <c r="C40" s="53" t="s">
        <v>88</v>
      </c>
      <c r="D40" s="67" t="s">
        <v>82</v>
      </c>
      <c r="E40" s="66">
        <v>31</v>
      </c>
      <c r="F40" s="54" t="s">
        <v>94</v>
      </c>
      <c r="G40" s="56">
        <f>5.16*17697</f>
        <v>91316.52</v>
      </c>
      <c r="H40" s="49">
        <f t="shared" si="5"/>
        <v>114145.65000000001</v>
      </c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7">
        <f t="shared" si="6"/>
        <v>0</v>
      </c>
      <c r="X40" s="47">
        <f t="shared" si="6"/>
        <v>0</v>
      </c>
      <c r="Y40" s="50"/>
      <c r="Z40" s="51"/>
      <c r="AA40" s="48"/>
      <c r="AB40" s="48"/>
      <c r="AC40" s="47">
        <f t="shared" si="7"/>
        <v>0</v>
      </c>
      <c r="AD40" s="47">
        <f t="shared" si="7"/>
        <v>0</v>
      </c>
      <c r="AE40" s="49">
        <f t="shared" si="24"/>
        <v>0</v>
      </c>
      <c r="AF40" s="49">
        <f t="shared" si="8"/>
        <v>0</v>
      </c>
      <c r="AG40" s="49">
        <f t="shared" si="9"/>
        <v>0</v>
      </c>
      <c r="AH40" s="49">
        <f t="shared" si="10"/>
        <v>0</v>
      </c>
      <c r="AI40" s="49">
        <f t="shared" si="11"/>
        <v>0</v>
      </c>
      <c r="AJ40" s="49">
        <f t="shared" si="12"/>
        <v>0</v>
      </c>
      <c r="AK40" s="49">
        <f t="shared" si="13"/>
        <v>0</v>
      </c>
      <c r="AL40" s="49">
        <f t="shared" si="14"/>
        <v>0</v>
      </c>
      <c r="AM40" s="49">
        <f t="shared" si="15"/>
        <v>0</v>
      </c>
      <c r="AN40" s="49">
        <f t="shared" si="16"/>
        <v>0</v>
      </c>
      <c r="AO40" s="49">
        <f t="shared" si="17"/>
        <v>0</v>
      </c>
      <c r="AP40" s="49">
        <f t="shared" si="18"/>
        <v>0</v>
      </c>
      <c r="AQ40" s="57"/>
      <c r="AR40" s="49">
        <f t="shared" si="25"/>
        <v>0</v>
      </c>
      <c r="AS40" s="57"/>
      <c r="AT40" s="49">
        <f t="shared" si="26"/>
        <v>0</v>
      </c>
      <c r="AU40" s="57"/>
      <c r="AV40" s="49">
        <f t="shared" si="27"/>
        <v>0</v>
      </c>
      <c r="AW40" s="57"/>
      <c r="AX40" s="49">
        <f t="shared" si="19"/>
        <v>0</v>
      </c>
      <c r="AY40" s="57"/>
      <c r="AZ40" s="49">
        <f t="shared" si="25"/>
        <v>0</v>
      </c>
      <c r="BA40" s="57"/>
      <c r="BB40" s="49">
        <f t="shared" si="26"/>
        <v>0</v>
      </c>
      <c r="BC40" s="57"/>
      <c r="BD40" s="49">
        <f t="shared" si="27"/>
        <v>0</v>
      </c>
      <c r="BE40" s="57"/>
      <c r="BF40" s="49">
        <f t="shared" si="19"/>
        <v>0</v>
      </c>
      <c r="BG40" s="57"/>
      <c r="BH40" s="49">
        <f t="shared" si="28"/>
        <v>0</v>
      </c>
      <c r="BI40" s="57"/>
      <c r="BJ40" s="49">
        <f t="shared" si="29"/>
        <v>0</v>
      </c>
      <c r="BK40" s="57"/>
      <c r="BL40" s="49">
        <f t="shared" si="30"/>
        <v>0</v>
      </c>
      <c r="BM40" s="57"/>
      <c r="BN40" s="49">
        <f t="shared" si="31"/>
        <v>0</v>
      </c>
      <c r="BO40" s="58"/>
      <c r="BP40" s="49">
        <f t="shared" si="32"/>
        <v>0</v>
      </c>
      <c r="BQ40" s="58"/>
      <c r="BR40" s="49">
        <f t="shared" si="33"/>
        <v>0</v>
      </c>
      <c r="BS40" s="57"/>
      <c r="BT40" s="49">
        <f t="shared" si="42"/>
        <v>0</v>
      </c>
      <c r="BU40" s="57"/>
      <c r="BV40" s="49">
        <f t="shared" si="43"/>
        <v>0</v>
      </c>
      <c r="BW40" s="56"/>
      <c r="BX40" s="49">
        <f t="shared" si="44"/>
        <v>0</v>
      </c>
      <c r="BY40" s="59"/>
      <c r="BZ40" s="49">
        <f t="shared" si="34"/>
        <v>0</v>
      </c>
      <c r="CA40" s="59"/>
      <c r="CB40" s="49">
        <f t="shared" si="35"/>
        <v>0</v>
      </c>
      <c r="CC40" s="60"/>
      <c r="CD40" s="49">
        <f t="shared" si="36"/>
        <v>0</v>
      </c>
      <c r="CE40" s="57">
        <f t="shared" si="37"/>
        <v>0</v>
      </c>
      <c r="CF40" s="49">
        <f t="shared" si="38"/>
        <v>0</v>
      </c>
      <c r="CG40" s="49"/>
      <c r="CH40" s="49">
        <f t="shared" si="39"/>
        <v>0</v>
      </c>
      <c r="CI40" s="49"/>
      <c r="CJ40" s="61">
        <f t="shared" si="40"/>
        <v>0</v>
      </c>
      <c r="CK40" s="49">
        <f t="shared" si="23"/>
        <v>0</v>
      </c>
      <c r="CL40" s="106">
        <f t="shared" si="41"/>
        <v>0</v>
      </c>
    </row>
    <row r="41" spans="1:90" s="62" customFormat="1" x14ac:dyDescent="0.25">
      <c r="A41" s="70">
        <v>9</v>
      </c>
      <c r="B41" s="71" t="s">
        <v>105</v>
      </c>
      <c r="C41" s="71" t="s">
        <v>89</v>
      </c>
      <c r="D41" s="85" t="s">
        <v>82</v>
      </c>
      <c r="E41" s="102">
        <v>13.05</v>
      </c>
      <c r="F41" s="74" t="s">
        <v>92</v>
      </c>
      <c r="G41" s="78">
        <f>4.95*17697</f>
        <v>87600.150000000009</v>
      </c>
      <c r="H41" s="49">
        <f t="shared" si="5"/>
        <v>109500.18750000001</v>
      </c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7">
        <f t="shared" ref="W41:X61" si="50">M41+O41+Q41+S41+U41</f>
        <v>0</v>
      </c>
      <c r="X41" s="47">
        <f t="shared" si="50"/>
        <v>0</v>
      </c>
      <c r="Y41" s="69"/>
      <c r="Z41" s="51"/>
      <c r="AA41" s="48">
        <v>1</v>
      </c>
      <c r="AB41" s="48"/>
      <c r="AC41" s="47">
        <f t="shared" ref="AC41:AD60" si="51">Y41+AA41</f>
        <v>1</v>
      </c>
      <c r="AD41" s="47">
        <f t="shared" si="51"/>
        <v>0</v>
      </c>
      <c r="AE41" s="49">
        <f t="shared" si="24"/>
        <v>0</v>
      </c>
      <c r="AF41" s="49">
        <f t="shared" si="8"/>
        <v>0</v>
      </c>
      <c r="AG41" s="49">
        <f t="shared" si="9"/>
        <v>0</v>
      </c>
      <c r="AH41" s="49">
        <f t="shared" si="10"/>
        <v>0</v>
      </c>
      <c r="AI41" s="49">
        <f t="shared" si="11"/>
        <v>0</v>
      </c>
      <c r="AJ41" s="49">
        <f t="shared" si="12"/>
        <v>0</v>
      </c>
      <c r="AK41" s="49">
        <f t="shared" si="13"/>
        <v>0</v>
      </c>
      <c r="AL41" s="49">
        <f t="shared" si="14"/>
        <v>0</v>
      </c>
      <c r="AM41" s="49">
        <f t="shared" si="15"/>
        <v>0</v>
      </c>
      <c r="AN41" s="49">
        <f t="shared" si="16"/>
        <v>6083.3437500000009</v>
      </c>
      <c r="AO41" s="49">
        <f t="shared" si="17"/>
        <v>6083.3437500000009</v>
      </c>
      <c r="AP41" s="49">
        <f t="shared" si="18"/>
        <v>6083.3437500000009</v>
      </c>
      <c r="AQ41" s="57"/>
      <c r="AR41" s="49">
        <f t="shared" si="25"/>
        <v>0</v>
      </c>
      <c r="AS41" s="57"/>
      <c r="AT41" s="49">
        <f t="shared" si="26"/>
        <v>0</v>
      </c>
      <c r="AU41" s="57"/>
      <c r="AV41" s="49">
        <f t="shared" si="27"/>
        <v>0</v>
      </c>
      <c r="AW41" s="57"/>
      <c r="AX41" s="49">
        <f t="shared" ref="AX41:AX61" si="52">(17697*20/100)/18*AW41</f>
        <v>0</v>
      </c>
      <c r="AY41" s="57"/>
      <c r="AZ41" s="49">
        <f t="shared" si="25"/>
        <v>0</v>
      </c>
      <c r="BA41" s="57"/>
      <c r="BB41" s="49">
        <f t="shared" si="26"/>
        <v>0</v>
      </c>
      <c r="BC41" s="57"/>
      <c r="BD41" s="49">
        <f t="shared" si="27"/>
        <v>0</v>
      </c>
      <c r="BE41" s="57"/>
      <c r="BF41" s="49">
        <f t="shared" ref="BF41:BF61" si="53">(17697*20/100)/18*BE41</f>
        <v>0</v>
      </c>
      <c r="BG41" s="57"/>
      <c r="BH41" s="49">
        <f t="shared" si="28"/>
        <v>0</v>
      </c>
      <c r="BI41" s="57"/>
      <c r="BJ41" s="49">
        <f t="shared" si="29"/>
        <v>0</v>
      </c>
      <c r="BK41" s="57"/>
      <c r="BL41" s="49">
        <f t="shared" si="30"/>
        <v>0</v>
      </c>
      <c r="BM41" s="57"/>
      <c r="BN41" s="49">
        <f t="shared" si="31"/>
        <v>0</v>
      </c>
      <c r="BO41" s="58"/>
      <c r="BP41" s="49">
        <f t="shared" si="32"/>
        <v>0</v>
      </c>
      <c r="BQ41" s="58"/>
      <c r="BR41" s="49">
        <f t="shared" si="33"/>
        <v>0</v>
      </c>
      <c r="BS41" s="57"/>
      <c r="BT41" s="49">
        <f t="shared" si="42"/>
        <v>0</v>
      </c>
      <c r="BU41" s="57"/>
      <c r="BV41" s="49">
        <f t="shared" si="43"/>
        <v>0</v>
      </c>
      <c r="BW41" s="56"/>
      <c r="BX41" s="49">
        <f t="shared" si="44"/>
        <v>0</v>
      </c>
      <c r="BY41" s="59"/>
      <c r="BZ41" s="49">
        <f t="shared" si="34"/>
        <v>0</v>
      </c>
      <c r="CA41" s="59">
        <v>1</v>
      </c>
      <c r="CB41" s="49">
        <f>H41*0.35/18*CA41</f>
        <v>2129.1703125000004</v>
      </c>
      <c r="CC41" s="60"/>
      <c r="CD41" s="49">
        <f t="shared" si="36"/>
        <v>0</v>
      </c>
      <c r="CE41" s="57">
        <f t="shared" si="37"/>
        <v>1</v>
      </c>
      <c r="CF41" s="49">
        <f t="shared" si="38"/>
        <v>1825.0031250000002</v>
      </c>
      <c r="CG41" s="49"/>
      <c r="CH41" s="49">
        <f t="shared" si="39"/>
        <v>608.33437500000014</v>
      </c>
      <c r="CI41" s="49"/>
      <c r="CJ41" s="61">
        <f t="shared" si="40"/>
        <v>608.33437500000014</v>
      </c>
      <c r="CK41" s="49">
        <f t="shared" si="23"/>
        <v>6691.6781250000013</v>
      </c>
      <c r="CL41" s="106">
        <f t="shared" si="41"/>
        <v>10645.851562500002</v>
      </c>
    </row>
    <row r="42" spans="1:90" s="62" customFormat="1" hidden="1" x14ac:dyDescent="0.25">
      <c r="A42" s="52"/>
      <c r="B42" s="71"/>
      <c r="C42" s="71"/>
      <c r="D42" s="85"/>
      <c r="E42" s="88"/>
      <c r="F42" s="85"/>
      <c r="G42" s="56"/>
      <c r="H42" s="49">
        <f t="shared" si="5"/>
        <v>0</v>
      </c>
      <c r="I42" s="51"/>
      <c r="J42" s="51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7">
        <f t="shared" si="50"/>
        <v>0</v>
      </c>
      <c r="X42" s="47">
        <f t="shared" si="50"/>
        <v>0</v>
      </c>
      <c r="Y42" s="69"/>
      <c r="Z42" s="51"/>
      <c r="AA42" s="48"/>
      <c r="AB42" s="48"/>
      <c r="AC42" s="47">
        <f t="shared" si="51"/>
        <v>0</v>
      </c>
      <c r="AD42" s="47">
        <f t="shared" si="51"/>
        <v>0</v>
      </c>
      <c r="AE42" s="49">
        <f t="shared" si="24"/>
        <v>0</v>
      </c>
      <c r="AF42" s="49">
        <f t="shared" si="8"/>
        <v>0</v>
      </c>
      <c r="AG42" s="49">
        <f t="shared" si="9"/>
        <v>0</v>
      </c>
      <c r="AH42" s="49">
        <f t="shared" si="10"/>
        <v>0</v>
      </c>
      <c r="AI42" s="49">
        <f t="shared" si="11"/>
        <v>0</v>
      </c>
      <c r="AJ42" s="49">
        <f t="shared" si="12"/>
        <v>0</v>
      </c>
      <c r="AK42" s="49">
        <f t="shared" si="13"/>
        <v>0</v>
      </c>
      <c r="AL42" s="49">
        <f t="shared" si="14"/>
        <v>0</v>
      </c>
      <c r="AM42" s="49">
        <f t="shared" si="15"/>
        <v>0</v>
      </c>
      <c r="AN42" s="49">
        <f t="shared" si="16"/>
        <v>0</v>
      </c>
      <c r="AO42" s="49">
        <f t="shared" si="17"/>
        <v>0</v>
      </c>
      <c r="AP42" s="49">
        <f t="shared" si="18"/>
        <v>0</v>
      </c>
      <c r="AQ42" s="57"/>
      <c r="AR42" s="49">
        <f t="shared" ref="AR42:AR61" si="54">(17697*50/100)/18*AQ42</f>
        <v>0</v>
      </c>
      <c r="AS42" s="57"/>
      <c r="AT42" s="49">
        <f t="shared" ref="AT42:AT61" si="55">(17697*25/100)/18*AS42</f>
        <v>0</v>
      </c>
      <c r="AU42" s="57"/>
      <c r="AV42" s="49">
        <f t="shared" ref="AV42:AV61" si="56">(17697*40/100)/18*AU42</f>
        <v>0</v>
      </c>
      <c r="AW42" s="57"/>
      <c r="AX42" s="49">
        <f t="shared" si="52"/>
        <v>0</v>
      </c>
      <c r="AY42" s="57"/>
      <c r="AZ42" s="49">
        <f t="shared" ref="AZ42:AZ61" si="57">(17697*50/100)/18*AY42</f>
        <v>0</v>
      </c>
      <c r="BA42" s="57"/>
      <c r="BB42" s="49">
        <f t="shared" ref="BB42:BB61" si="58">(17697*25/100)/18*BA42</f>
        <v>0</v>
      </c>
      <c r="BC42" s="57"/>
      <c r="BD42" s="49">
        <f t="shared" ref="BD42:BD61" si="59">(17697*40/100)/18*BC42</f>
        <v>0</v>
      </c>
      <c r="BE42" s="57"/>
      <c r="BF42" s="49">
        <f t="shared" si="53"/>
        <v>0</v>
      </c>
      <c r="BG42" s="57"/>
      <c r="BH42" s="49">
        <f t="shared" si="28"/>
        <v>0</v>
      </c>
      <c r="BI42" s="57"/>
      <c r="BJ42" s="49">
        <f t="shared" si="29"/>
        <v>0</v>
      </c>
      <c r="BK42" s="57"/>
      <c r="BL42" s="49">
        <f t="shared" si="30"/>
        <v>0</v>
      </c>
      <c r="BM42" s="57"/>
      <c r="BN42" s="49">
        <f t="shared" si="31"/>
        <v>0</v>
      </c>
      <c r="BO42" s="83"/>
      <c r="BP42" s="49">
        <f t="shared" si="32"/>
        <v>0</v>
      </c>
      <c r="BQ42" s="58"/>
      <c r="BR42" s="49">
        <f t="shared" si="33"/>
        <v>0</v>
      </c>
      <c r="BS42" s="57"/>
      <c r="BT42" s="49"/>
      <c r="BU42" s="57"/>
      <c r="BV42" s="49"/>
      <c r="BW42" s="56"/>
      <c r="BX42" s="49"/>
      <c r="BY42" s="59"/>
      <c r="BZ42" s="49">
        <f t="shared" si="34"/>
        <v>0</v>
      </c>
      <c r="CA42" s="59"/>
      <c r="CB42" s="49">
        <f t="shared" si="35"/>
        <v>0</v>
      </c>
      <c r="CC42" s="60"/>
      <c r="CD42" s="49">
        <f t="shared" si="36"/>
        <v>0</v>
      </c>
      <c r="CE42" s="57">
        <f t="shared" si="37"/>
        <v>0</v>
      </c>
      <c r="CF42" s="49">
        <f t="shared" si="38"/>
        <v>0</v>
      </c>
      <c r="CG42" s="49"/>
      <c r="CH42" s="49">
        <f t="shared" si="39"/>
        <v>0</v>
      </c>
      <c r="CI42" s="49"/>
      <c r="CJ42" s="61">
        <f t="shared" si="40"/>
        <v>0</v>
      </c>
      <c r="CK42" s="49">
        <f t="shared" si="23"/>
        <v>0</v>
      </c>
      <c r="CL42" s="106">
        <f t="shared" si="41"/>
        <v>0</v>
      </c>
    </row>
    <row r="43" spans="1:90" s="62" customFormat="1" hidden="1" x14ac:dyDescent="0.25">
      <c r="A43" s="70"/>
      <c r="B43" s="84"/>
      <c r="C43" s="79"/>
      <c r="D43" s="75"/>
      <c r="E43" s="68"/>
      <c r="F43" s="87"/>
      <c r="G43" s="56"/>
      <c r="H43" s="49">
        <f t="shared" si="5"/>
        <v>0</v>
      </c>
      <c r="I43" s="51"/>
      <c r="J43" s="51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7">
        <f t="shared" si="50"/>
        <v>0</v>
      </c>
      <c r="X43" s="47">
        <f t="shared" si="50"/>
        <v>0</v>
      </c>
      <c r="Y43" s="48"/>
      <c r="Z43" s="48"/>
      <c r="AA43" s="48"/>
      <c r="AB43" s="48"/>
      <c r="AC43" s="47">
        <f t="shared" si="51"/>
        <v>0</v>
      </c>
      <c r="AD43" s="47">
        <f t="shared" si="51"/>
        <v>0</v>
      </c>
      <c r="AE43" s="49">
        <f t="shared" si="24"/>
        <v>0</v>
      </c>
      <c r="AF43" s="49">
        <f t="shared" si="8"/>
        <v>0</v>
      </c>
      <c r="AG43" s="49">
        <f t="shared" si="9"/>
        <v>0</v>
      </c>
      <c r="AH43" s="49">
        <f t="shared" si="10"/>
        <v>0</v>
      </c>
      <c r="AI43" s="49">
        <f t="shared" si="11"/>
        <v>0</v>
      </c>
      <c r="AJ43" s="49">
        <f t="shared" si="12"/>
        <v>0</v>
      </c>
      <c r="AK43" s="49">
        <f t="shared" si="13"/>
        <v>0</v>
      </c>
      <c r="AL43" s="49">
        <f t="shared" si="14"/>
        <v>0</v>
      </c>
      <c r="AM43" s="49">
        <f t="shared" si="15"/>
        <v>0</v>
      </c>
      <c r="AN43" s="49">
        <f t="shared" si="16"/>
        <v>0</v>
      </c>
      <c r="AO43" s="49">
        <f t="shared" si="17"/>
        <v>0</v>
      </c>
      <c r="AP43" s="49">
        <f t="shared" si="18"/>
        <v>0</v>
      </c>
      <c r="AQ43" s="57"/>
      <c r="AR43" s="49">
        <f t="shared" si="54"/>
        <v>0</v>
      </c>
      <c r="AS43" s="57"/>
      <c r="AT43" s="49">
        <f t="shared" si="55"/>
        <v>0</v>
      </c>
      <c r="AU43" s="57"/>
      <c r="AV43" s="49">
        <f t="shared" si="56"/>
        <v>0</v>
      </c>
      <c r="AW43" s="57"/>
      <c r="AX43" s="49">
        <f t="shared" si="52"/>
        <v>0</v>
      </c>
      <c r="AY43" s="57"/>
      <c r="AZ43" s="49">
        <f t="shared" si="57"/>
        <v>0</v>
      </c>
      <c r="BA43" s="57"/>
      <c r="BB43" s="49">
        <f t="shared" si="58"/>
        <v>0</v>
      </c>
      <c r="BC43" s="57"/>
      <c r="BD43" s="49">
        <f t="shared" si="59"/>
        <v>0</v>
      </c>
      <c r="BE43" s="57"/>
      <c r="BF43" s="49">
        <f t="shared" si="53"/>
        <v>0</v>
      </c>
      <c r="BG43" s="57"/>
      <c r="BH43" s="49">
        <f t="shared" si="28"/>
        <v>0</v>
      </c>
      <c r="BI43" s="57"/>
      <c r="BJ43" s="49">
        <f t="shared" si="29"/>
        <v>0</v>
      </c>
      <c r="BK43" s="57"/>
      <c r="BL43" s="49">
        <f t="shared" si="30"/>
        <v>0</v>
      </c>
      <c r="BM43" s="57"/>
      <c r="BN43" s="49">
        <f t="shared" si="31"/>
        <v>0</v>
      </c>
      <c r="BO43" s="58"/>
      <c r="BP43" s="49">
        <f t="shared" si="32"/>
        <v>0</v>
      </c>
      <c r="BQ43" s="58"/>
      <c r="BR43" s="49">
        <f t="shared" si="33"/>
        <v>0</v>
      </c>
      <c r="BS43" s="57"/>
      <c r="BT43" s="49"/>
      <c r="BU43" s="57"/>
      <c r="BV43" s="49"/>
      <c r="BW43" s="56"/>
      <c r="BX43" s="49"/>
      <c r="BY43" s="59"/>
      <c r="BZ43" s="49">
        <f t="shared" si="34"/>
        <v>0</v>
      </c>
      <c r="CA43" s="59"/>
      <c r="CB43" s="49">
        <f t="shared" si="35"/>
        <v>0</v>
      </c>
      <c r="CC43" s="60"/>
      <c r="CD43" s="49">
        <f t="shared" si="36"/>
        <v>0</v>
      </c>
      <c r="CE43" s="57">
        <f t="shared" si="37"/>
        <v>0</v>
      </c>
      <c r="CF43" s="49">
        <f t="shared" si="38"/>
        <v>0</v>
      </c>
      <c r="CG43" s="49"/>
      <c r="CH43" s="49">
        <f t="shared" si="39"/>
        <v>0</v>
      </c>
      <c r="CI43" s="49"/>
      <c r="CJ43" s="61">
        <f t="shared" si="40"/>
        <v>0</v>
      </c>
      <c r="CK43" s="49">
        <f t="shared" si="23"/>
        <v>0</v>
      </c>
      <c r="CL43" s="106">
        <f t="shared" si="41"/>
        <v>0</v>
      </c>
    </row>
    <row r="44" spans="1:90" s="62" customFormat="1" hidden="1" x14ac:dyDescent="0.25">
      <c r="A44" s="70"/>
      <c r="B44" s="84"/>
      <c r="C44" s="79"/>
      <c r="D44" s="75"/>
      <c r="E44" s="68"/>
      <c r="F44" s="87"/>
      <c r="G44" s="56"/>
      <c r="H44" s="49">
        <f t="shared" si="5"/>
        <v>0</v>
      </c>
      <c r="I44" s="51"/>
      <c r="J44" s="51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7">
        <f t="shared" si="50"/>
        <v>0</v>
      </c>
      <c r="X44" s="47">
        <f t="shared" si="50"/>
        <v>0</v>
      </c>
      <c r="Y44" s="48"/>
      <c r="Z44" s="48"/>
      <c r="AA44" s="48"/>
      <c r="AB44" s="48"/>
      <c r="AC44" s="47">
        <f t="shared" si="51"/>
        <v>0</v>
      </c>
      <c r="AD44" s="47">
        <f t="shared" si="51"/>
        <v>0</v>
      </c>
      <c r="AE44" s="49">
        <f t="shared" si="24"/>
        <v>0</v>
      </c>
      <c r="AF44" s="49">
        <f t="shared" si="8"/>
        <v>0</v>
      </c>
      <c r="AG44" s="49">
        <f t="shared" si="9"/>
        <v>0</v>
      </c>
      <c r="AH44" s="49">
        <f t="shared" si="10"/>
        <v>0</v>
      </c>
      <c r="AI44" s="49">
        <f t="shared" si="11"/>
        <v>0</v>
      </c>
      <c r="AJ44" s="49">
        <f t="shared" si="12"/>
        <v>0</v>
      </c>
      <c r="AK44" s="49">
        <f t="shared" si="13"/>
        <v>0</v>
      </c>
      <c r="AL44" s="49">
        <f t="shared" si="14"/>
        <v>0</v>
      </c>
      <c r="AM44" s="49">
        <f t="shared" si="15"/>
        <v>0</v>
      </c>
      <c r="AN44" s="49">
        <f t="shared" si="16"/>
        <v>0</v>
      </c>
      <c r="AO44" s="49">
        <f t="shared" si="17"/>
        <v>0</v>
      </c>
      <c r="AP44" s="49">
        <f t="shared" si="18"/>
        <v>0</v>
      </c>
      <c r="AQ44" s="57"/>
      <c r="AR44" s="49">
        <f t="shared" si="54"/>
        <v>0</v>
      </c>
      <c r="AS44" s="57"/>
      <c r="AT44" s="49">
        <f t="shared" si="55"/>
        <v>0</v>
      </c>
      <c r="AU44" s="57"/>
      <c r="AV44" s="49">
        <f t="shared" si="56"/>
        <v>0</v>
      </c>
      <c r="AW44" s="57"/>
      <c r="AX44" s="49">
        <f t="shared" si="52"/>
        <v>0</v>
      </c>
      <c r="AY44" s="57"/>
      <c r="AZ44" s="49">
        <f t="shared" si="57"/>
        <v>0</v>
      </c>
      <c r="BA44" s="57"/>
      <c r="BB44" s="49">
        <f t="shared" si="58"/>
        <v>0</v>
      </c>
      <c r="BC44" s="57"/>
      <c r="BD44" s="49">
        <f t="shared" si="59"/>
        <v>0</v>
      </c>
      <c r="BE44" s="57"/>
      <c r="BF44" s="49">
        <f t="shared" si="53"/>
        <v>0</v>
      </c>
      <c r="BG44" s="57"/>
      <c r="BH44" s="49">
        <f t="shared" si="28"/>
        <v>0</v>
      </c>
      <c r="BI44" s="57"/>
      <c r="BJ44" s="49">
        <f t="shared" si="29"/>
        <v>0</v>
      </c>
      <c r="BK44" s="57"/>
      <c r="BL44" s="49">
        <f t="shared" si="30"/>
        <v>0</v>
      </c>
      <c r="BM44" s="57"/>
      <c r="BN44" s="49">
        <f t="shared" si="31"/>
        <v>0</v>
      </c>
      <c r="BO44" s="58"/>
      <c r="BP44" s="49">
        <f t="shared" si="32"/>
        <v>0</v>
      </c>
      <c r="BQ44" s="58"/>
      <c r="BR44" s="49">
        <f t="shared" si="33"/>
        <v>0</v>
      </c>
      <c r="BS44" s="57"/>
      <c r="BT44" s="49"/>
      <c r="BU44" s="57"/>
      <c r="BV44" s="49"/>
      <c r="BW44" s="56"/>
      <c r="BX44" s="49"/>
      <c r="BY44" s="59"/>
      <c r="BZ44" s="49">
        <f t="shared" si="34"/>
        <v>0</v>
      </c>
      <c r="CA44" s="59"/>
      <c r="CB44" s="49">
        <f t="shared" si="35"/>
        <v>0</v>
      </c>
      <c r="CC44" s="60"/>
      <c r="CD44" s="49">
        <f t="shared" si="36"/>
        <v>0</v>
      </c>
      <c r="CE44" s="57">
        <f t="shared" si="37"/>
        <v>0</v>
      </c>
      <c r="CF44" s="49">
        <f t="shared" si="38"/>
        <v>0</v>
      </c>
      <c r="CG44" s="49"/>
      <c r="CH44" s="49">
        <f t="shared" si="39"/>
        <v>0</v>
      </c>
      <c r="CI44" s="49"/>
      <c r="CJ44" s="61">
        <f t="shared" si="40"/>
        <v>0</v>
      </c>
      <c r="CK44" s="49">
        <f t="shared" si="23"/>
        <v>0</v>
      </c>
      <c r="CL44" s="106">
        <f t="shared" si="41"/>
        <v>0</v>
      </c>
    </row>
    <row r="45" spans="1:90" s="62" customFormat="1" x14ac:dyDescent="0.25">
      <c r="A45" s="70">
        <v>11</v>
      </c>
      <c r="B45" s="72" t="s">
        <v>112</v>
      </c>
      <c r="C45" s="73" t="s">
        <v>91</v>
      </c>
      <c r="D45" s="67" t="s">
        <v>82</v>
      </c>
      <c r="E45" s="86">
        <v>4</v>
      </c>
      <c r="F45" s="54" t="s">
        <v>94</v>
      </c>
      <c r="G45" s="56">
        <f>4.59*17697</f>
        <v>81229.23</v>
      </c>
      <c r="H45" s="49">
        <f t="shared" si="5"/>
        <v>101536.53749999999</v>
      </c>
      <c r="I45" s="48"/>
      <c r="J45" s="48"/>
      <c r="K45" s="48"/>
      <c r="L45" s="48"/>
      <c r="M45" s="48"/>
      <c r="N45" s="48"/>
      <c r="O45" s="48"/>
      <c r="P45" s="48"/>
      <c r="Q45" s="48">
        <v>2</v>
      </c>
      <c r="R45" s="48"/>
      <c r="S45" s="48"/>
      <c r="T45" s="48"/>
      <c r="U45" s="48">
        <v>2</v>
      </c>
      <c r="V45" s="48"/>
      <c r="W45" s="47">
        <f t="shared" si="50"/>
        <v>4</v>
      </c>
      <c r="X45" s="47">
        <f t="shared" si="50"/>
        <v>0</v>
      </c>
      <c r="Y45" s="48"/>
      <c r="Z45" s="48"/>
      <c r="AA45" s="48">
        <v>4</v>
      </c>
      <c r="AB45" s="48">
        <v>1</v>
      </c>
      <c r="AC45" s="47">
        <f t="shared" si="51"/>
        <v>4</v>
      </c>
      <c r="AD45" s="47">
        <f t="shared" si="51"/>
        <v>1</v>
      </c>
      <c r="AE45" s="49">
        <f t="shared" si="24"/>
        <v>0</v>
      </c>
      <c r="AF45" s="49">
        <f t="shared" si="8"/>
        <v>0</v>
      </c>
      <c r="AG45" s="49">
        <f t="shared" si="9"/>
        <v>0</v>
      </c>
      <c r="AH45" s="49">
        <f t="shared" si="10"/>
        <v>0</v>
      </c>
      <c r="AI45" s="49">
        <f t="shared" si="11"/>
        <v>11281.8375</v>
      </c>
      <c r="AJ45" s="49">
        <f t="shared" si="12"/>
        <v>0</v>
      </c>
      <c r="AK45" s="49">
        <f t="shared" si="13"/>
        <v>11281.8375</v>
      </c>
      <c r="AL45" s="49">
        <f t="shared" si="14"/>
        <v>22563.674999999999</v>
      </c>
      <c r="AM45" s="49">
        <f t="shared" si="15"/>
        <v>0</v>
      </c>
      <c r="AN45" s="49">
        <f t="shared" si="16"/>
        <v>28204.59375</v>
      </c>
      <c r="AO45" s="49">
        <f t="shared" si="17"/>
        <v>28204.59375</v>
      </c>
      <c r="AP45" s="49">
        <f t="shared" si="18"/>
        <v>50768.268750000003</v>
      </c>
      <c r="AQ45" s="57"/>
      <c r="AR45" s="49">
        <f t="shared" si="54"/>
        <v>0</v>
      </c>
      <c r="AS45" s="57"/>
      <c r="AT45" s="49">
        <f t="shared" si="55"/>
        <v>0</v>
      </c>
      <c r="AU45" s="57"/>
      <c r="AV45" s="49">
        <f t="shared" si="56"/>
        <v>0</v>
      </c>
      <c r="AW45" s="57"/>
      <c r="AX45" s="49">
        <f t="shared" si="52"/>
        <v>0</v>
      </c>
      <c r="AY45" s="57"/>
      <c r="AZ45" s="49">
        <f t="shared" si="57"/>
        <v>0</v>
      </c>
      <c r="BA45" s="57"/>
      <c r="BB45" s="49">
        <f t="shared" si="58"/>
        <v>0</v>
      </c>
      <c r="BC45" s="57"/>
      <c r="BD45" s="49">
        <f t="shared" si="59"/>
        <v>0</v>
      </c>
      <c r="BE45" s="57"/>
      <c r="BF45" s="49">
        <f t="shared" si="53"/>
        <v>0</v>
      </c>
      <c r="BG45" s="57"/>
      <c r="BH45" s="49">
        <f t="shared" si="28"/>
        <v>0</v>
      </c>
      <c r="BI45" s="57"/>
      <c r="BJ45" s="49">
        <f t="shared" si="29"/>
        <v>0</v>
      </c>
      <c r="BK45" s="57"/>
      <c r="BL45" s="49">
        <f t="shared" si="30"/>
        <v>0</v>
      </c>
      <c r="BM45" s="57"/>
      <c r="BN45" s="49">
        <f t="shared" si="31"/>
        <v>0</v>
      </c>
      <c r="BO45" s="58">
        <v>0.5</v>
      </c>
      <c r="BP45" s="49">
        <f t="shared" si="32"/>
        <v>5309.1</v>
      </c>
      <c r="BQ45" s="58"/>
      <c r="BR45" s="49">
        <f t="shared" si="33"/>
        <v>0</v>
      </c>
      <c r="BS45" s="57"/>
      <c r="BT45" s="49">
        <f t="shared" si="42"/>
        <v>0</v>
      </c>
      <c r="BU45" s="57"/>
      <c r="BV45" s="49">
        <f t="shared" si="43"/>
        <v>0</v>
      </c>
      <c r="BW45" s="56"/>
      <c r="BX45" s="49">
        <f t="shared" si="44"/>
        <v>0</v>
      </c>
      <c r="BY45" s="59">
        <v>9</v>
      </c>
      <c r="BZ45" s="49">
        <f t="shared" si="34"/>
        <v>15230.480624999998</v>
      </c>
      <c r="CA45" s="59"/>
      <c r="CB45" s="49">
        <f t="shared" si="35"/>
        <v>0</v>
      </c>
      <c r="CC45" s="60"/>
      <c r="CD45" s="49">
        <f t="shared" si="36"/>
        <v>0</v>
      </c>
      <c r="CE45" s="57">
        <f t="shared" si="37"/>
        <v>9</v>
      </c>
      <c r="CF45" s="49">
        <f t="shared" si="38"/>
        <v>15230.480624999998</v>
      </c>
      <c r="CG45" s="49"/>
      <c r="CH45" s="49">
        <f t="shared" si="39"/>
        <v>5076.8268750000007</v>
      </c>
      <c r="CI45" s="49"/>
      <c r="CJ45" s="61">
        <f t="shared" si="40"/>
        <v>10385.926875000001</v>
      </c>
      <c r="CK45" s="49">
        <f t="shared" si="23"/>
        <v>61154.195625000008</v>
      </c>
      <c r="CL45" s="106">
        <f t="shared" si="41"/>
        <v>91615.156875000001</v>
      </c>
    </row>
    <row r="46" spans="1:90" s="62" customFormat="1" x14ac:dyDescent="0.25">
      <c r="A46" s="52">
        <v>14</v>
      </c>
      <c r="B46" s="53" t="s">
        <v>108</v>
      </c>
      <c r="C46" s="103" t="s">
        <v>132</v>
      </c>
      <c r="D46" s="54" t="s">
        <v>82</v>
      </c>
      <c r="E46" s="55">
        <v>21.1</v>
      </c>
      <c r="F46" s="54" t="s">
        <v>96</v>
      </c>
      <c r="G46" s="56">
        <f>5.32*17697</f>
        <v>94148.040000000008</v>
      </c>
      <c r="H46" s="49">
        <f t="shared" si="5"/>
        <v>117685.05000000002</v>
      </c>
      <c r="I46" s="48"/>
      <c r="J46" s="48"/>
      <c r="K46" s="48">
        <v>19</v>
      </c>
      <c r="L46" s="48">
        <v>1</v>
      </c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7">
        <f t="shared" si="50"/>
        <v>0</v>
      </c>
      <c r="X46" s="47">
        <f t="shared" si="50"/>
        <v>0</v>
      </c>
      <c r="Y46" s="48"/>
      <c r="Z46" s="48"/>
      <c r="AA46" s="48"/>
      <c r="AB46" s="48"/>
      <c r="AC46" s="47">
        <f t="shared" si="51"/>
        <v>0</v>
      </c>
      <c r="AD46" s="47">
        <f t="shared" si="51"/>
        <v>0</v>
      </c>
      <c r="AE46" s="49">
        <f t="shared" si="24"/>
        <v>0</v>
      </c>
      <c r="AF46" s="49">
        <f t="shared" si="8"/>
        <v>130761.16666666669</v>
      </c>
      <c r="AG46" s="49">
        <f t="shared" si="9"/>
        <v>0</v>
      </c>
      <c r="AH46" s="49">
        <f t="shared" si="10"/>
        <v>0</v>
      </c>
      <c r="AI46" s="49">
        <f t="shared" si="11"/>
        <v>0</v>
      </c>
      <c r="AJ46" s="49">
        <f t="shared" si="12"/>
        <v>0</v>
      </c>
      <c r="AK46" s="49">
        <f t="shared" si="13"/>
        <v>0</v>
      </c>
      <c r="AL46" s="49">
        <f t="shared" si="14"/>
        <v>0</v>
      </c>
      <c r="AM46" s="49">
        <f t="shared" si="15"/>
        <v>0</v>
      </c>
      <c r="AN46" s="49">
        <f t="shared" si="16"/>
        <v>0</v>
      </c>
      <c r="AO46" s="49">
        <f t="shared" si="17"/>
        <v>0</v>
      </c>
      <c r="AP46" s="49">
        <f t="shared" si="18"/>
        <v>130761.16666666669</v>
      </c>
      <c r="AQ46" s="57"/>
      <c r="AR46" s="49">
        <f t="shared" si="54"/>
        <v>0</v>
      </c>
      <c r="AS46" s="57"/>
      <c r="AT46" s="49">
        <f t="shared" si="55"/>
        <v>0</v>
      </c>
      <c r="AU46" s="57"/>
      <c r="AV46" s="49">
        <f t="shared" si="56"/>
        <v>0</v>
      </c>
      <c r="AW46" s="57">
        <v>8</v>
      </c>
      <c r="AX46" s="49">
        <f t="shared" si="52"/>
        <v>1573.0666666666666</v>
      </c>
      <c r="AY46" s="57"/>
      <c r="AZ46" s="49">
        <f t="shared" si="57"/>
        <v>0</v>
      </c>
      <c r="BA46" s="57"/>
      <c r="BB46" s="49">
        <f t="shared" si="58"/>
        <v>0</v>
      </c>
      <c r="BC46" s="57"/>
      <c r="BD46" s="49">
        <f t="shared" si="59"/>
        <v>0</v>
      </c>
      <c r="BE46" s="57"/>
      <c r="BF46" s="49">
        <f t="shared" si="53"/>
        <v>0</v>
      </c>
      <c r="BG46" s="57"/>
      <c r="BH46" s="49">
        <f t="shared" si="28"/>
        <v>0</v>
      </c>
      <c r="BI46" s="57"/>
      <c r="BJ46" s="49">
        <f t="shared" si="29"/>
        <v>0</v>
      </c>
      <c r="BK46" s="57"/>
      <c r="BL46" s="49">
        <f t="shared" si="30"/>
        <v>0</v>
      </c>
      <c r="BM46" s="57"/>
      <c r="BN46" s="49">
        <f t="shared" si="31"/>
        <v>0</v>
      </c>
      <c r="BO46" s="58"/>
      <c r="BP46" s="49">
        <f t="shared" si="32"/>
        <v>0</v>
      </c>
      <c r="BQ46" s="58">
        <v>1</v>
      </c>
      <c r="BR46" s="49">
        <f t="shared" si="33"/>
        <v>8848.5</v>
      </c>
      <c r="BS46" s="57"/>
      <c r="BT46" s="49">
        <f t="shared" si="42"/>
        <v>0</v>
      </c>
      <c r="BU46" s="57"/>
      <c r="BV46" s="49">
        <f t="shared" si="43"/>
        <v>0</v>
      </c>
      <c r="BW46" s="56"/>
      <c r="BX46" s="49">
        <f t="shared" si="44"/>
        <v>0</v>
      </c>
      <c r="BY46" s="59"/>
      <c r="BZ46" s="49">
        <f t="shared" si="34"/>
        <v>0</v>
      </c>
      <c r="CA46" s="59"/>
      <c r="CB46" s="49">
        <f t="shared" si="35"/>
        <v>0</v>
      </c>
      <c r="CC46" s="60">
        <f>K46+L46</f>
        <v>20</v>
      </c>
      <c r="CD46" s="49">
        <f t="shared" si="36"/>
        <v>52304.466666666674</v>
      </c>
      <c r="CE46" s="57">
        <f t="shared" si="37"/>
        <v>20</v>
      </c>
      <c r="CF46" s="49">
        <f t="shared" si="38"/>
        <v>39228.350000000006</v>
      </c>
      <c r="CG46" s="49"/>
      <c r="CH46" s="49">
        <f t="shared" si="39"/>
        <v>13076.116666666669</v>
      </c>
      <c r="CI46" s="49"/>
      <c r="CJ46" s="61">
        <f t="shared" si="40"/>
        <v>23497.683333333334</v>
      </c>
      <c r="CK46" s="49">
        <f t="shared" si="23"/>
        <v>154258.85000000003</v>
      </c>
      <c r="CL46" s="106">
        <f t="shared" si="41"/>
        <v>245791.66666666672</v>
      </c>
    </row>
    <row r="47" spans="1:90" s="62" customFormat="1" x14ac:dyDescent="0.25">
      <c r="A47" s="52">
        <v>15</v>
      </c>
      <c r="B47" s="53" t="s">
        <v>109</v>
      </c>
      <c r="C47" s="53" t="s">
        <v>140</v>
      </c>
      <c r="D47" s="54" t="s">
        <v>82</v>
      </c>
      <c r="E47" s="55">
        <v>12.06</v>
      </c>
      <c r="F47" s="54" t="s">
        <v>93</v>
      </c>
      <c r="G47" s="56">
        <f>4.38*17697</f>
        <v>77512.86</v>
      </c>
      <c r="H47" s="49">
        <f t="shared" si="5"/>
        <v>96891.074999999997</v>
      </c>
      <c r="I47" s="48"/>
      <c r="J47" s="48"/>
      <c r="K47" s="48">
        <v>18</v>
      </c>
      <c r="L47" s="48">
        <v>1</v>
      </c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7">
        <f t="shared" si="50"/>
        <v>0</v>
      </c>
      <c r="X47" s="47">
        <f t="shared" si="50"/>
        <v>0</v>
      </c>
      <c r="Y47" s="48"/>
      <c r="Z47" s="48"/>
      <c r="AA47" s="48"/>
      <c r="AB47" s="48"/>
      <c r="AC47" s="47">
        <f t="shared" si="51"/>
        <v>0</v>
      </c>
      <c r="AD47" s="47">
        <f t="shared" si="51"/>
        <v>0</v>
      </c>
      <c r="AE47" s="49">
        <f t="shared" si="24"/>
        <v>0</v>
      </c>
      <c r="AF47" s="49">
        <f t="shared" si="8"/>
        <v>102273.91249999999</v>
      </c>
      <c r="AG47" s="49">
        <f t="shared" si="9"/>
        <v>0</v>
      </c>
      <c r="AH47" s="49">
        <f t="shared" si="10"/>
        <v>0</v>
      </c>
      <c r="AI47" s="49">
        <f t="shared" si="11"/>
        <v>0</v>
      </c>
      <c r="AJ47" s="49">
        <f t="shared" si="12"/>
        <v>0</v>
      </c>
      <c r="AK47" s="49">
        <f t="shared" si="13"/>
        <v>0</v>
      </c>
      <c r="AL47" s="49">
        <f t="shared" si="14"/>
        <v>0</v>
      </c>
      <c r="AM47" s="49">
        <f t="shared" si="15"/>
        <v>0</v>
      </c>
      <c r="AN47" s="49">
        <f t="shared" si="16"/>
        <v>0</v>
      </c>
      <c r="AO47" s="49">
        <f t="shared" si="17"/>
        <v>0</v>
      </c>
      <c r="AP47" s="49">
        <f t="shared" si="18"/>
        <v>102273.91249999999</v>
      </c>
      <c r="AQ47" s="57"/>
      <c r="AR47" s="49">
        <f t="shared" si="54"/>
        <v>0</v>
      </c>
      <c r="AS47" s="57"/>
      <c r="AT47" s="49">
        <f t="shared" si="55"/>
        <v>0</v>
      </c>
      <c r="AU47" s="57"/>
      <c r="AV47" s="49">
        <f t="shared" si="56"/>
        <v>0</v>
      </c>
      <c r="AW47" s="57">
        <v>10</v>
      </c>
      <c r="AX47" s="49">
        <f t="shared" si="52"/>
        <v>1966.3333333333333</v>
      </c>
      <c r="AY47" s="57"/>
      <c r="AZ47" s="49">
        <f t="shared" si="57"/>
        <v>0</v>
      </c>
      <c r="BA47" s="57"/>
      <c r="BB47" s="49">
        <f t="shared" si="58"/>
        <v>0</v>
      </c>
      <c r="BC47" s="57"/>
      <c r="BD47" s="49">
        <f t="shared" si="59"/>
        <v>0</v>
      </c>
      <c r="BE47" s="57"/>
      <c r="BF47" s="49">
        <f t="shared" si="53"/>
        <v>0</v>
      </c>
      <c r="BG47" s="57"/>
      <c r="BH47" s="49">
        <f t="shared" si="28"/>
        <v>0</v>
      </c>
      <c r="BI47" s="57"/>
      <c r="BJ47" s="49">
        <f t="shared" si="29"/>
        <v>0</v>
      </c>
      <c r="BK47" s="57"/>
      <c r="BL47" s="49">
        <f t="shared" si="30"/>
        <v>0</v>
      </c>
      <c r="BM47" s="57"/>
      <c r="BN47" s="49">
        <f t="shared" si="31"/>
        <v>0</v>
      </c>
      <c r="BO47" s="58"/>
      <c r="BP47" s="49">
        <f t="shared" si="32"/>
        <v>0</v>
      </c>
      <c r="BQ47" s="58">
        <v>0.5</v>
      </c>
      <c r="BR47" s="49">
        <f t="shared" si="33"/>
        <v>4424.25</v>
      </c>
      <c r="BS47" s="57"/>
      <c r="BT47" s="49">
        <f t="shared" si="42"/>
        <v>0</v>
      </c>
      <c r="BU47" s="57"/>
      <c r="BV47" s="49">
        <f t="shared" si="43"/>
        <v>0</v>
      </c>
      <c r="BW47" s="56"/>
      <c r="BX47" s="49">
        <f t="shared" si="44"/>
        <v>0</v>
      </c>
      <c r="BY47" s="59"/>
      <c r="BZ47" s="49">
        <f t="shared" si="34"/>
        <v>0</v>
      </c>
      <c r="CA47" s="59"/>
      <c r="CB47" s="49">
        <f t="shared" si="35"/>
        <v>0</v>
      </c>
      <c r="CC47" s="60"/>
      <c r="CD47" s="49">
        <f t="shared" si="36"/>
        <v>0</v>
      </c>
      <c r="CE47" s="57">
        <f t="shared" si="37"/>
        <v>19</v>
      </c>
      <c r="CF47" s="49">
        <f t="shared" si="38"/>
        <v>30682.173749999998</v>
      </c>
      <c r="CG47" s="49"/>
      <c r="CH47" s="49">
        <f t="shared" si="39"/>
        <v>10227.391250000001</v>
      </c>
      <c r="CI47" s="49"/>
      <c r="CJ47" s="61">
        <f t="shared" si="40"/>
        <v>16617.974583333333</v>
      </c>
      <c r="CK47" s="49">
        <f t="shared" si="23"/>
        <v>118891.88708333332</v>
      </c>
      <c r="CL47" s="106">
        <f t="shared" si="41"/>
        <v>149574.06083333332</v>
      </c>
    </row>
    <row r="48" spans="1:90" s="62" customFormat="1" x14ac:dyDescent="0.25">
      <c r="A48" s="52"/>
      <c r="B48" s="53"/>
      <c r="C48" s="53" t="s">
        <v>87</v>
      </c>
      <c r="D48" s="54" t="s">
        <v>116</v>
      </c>
      <c r="E48" s="55"/>
      <c r="F48" s="54" t="s">
        <v>95</v>
      </c>
      <c r="G48" s="56">
        <f>3.57*17697</f>
        <v>63178.289999999994</v>
      </c>
      <c r="H48" s="49">
        <f t="shared" si="5"/>
        <v>78972.862499999988</v>
      </c>
      <c r="I48" s="48"/>
      <c r="J48" s="48"/>
      <c r="K48" s="48">
        <v>0</v>
      </c>
      <c r="L48" s="48"/>
      <c r="M48" s="48"/>
      <c r="N48" s="48"/>
      <c r="O48" s="48">
        <v>1</v>
      </c>
      <c r="P48" s="48"/>
      <c r="Q48" s="48"/>
      <c r="R48" s="48"/>
      <c r="S48" s="48"/>
      <c r="T48" s="48"/>
      <c r="U48" s="48"/>
      <c r="V48" s="48"/>
      <c r="W48" s="47">
        <f t="shared" si="50"/>
        <v>1</v>
      </c>
      <c r="X48" s="47">
        <f t="shared" si="50"/>
        <v>0</v>
      </c>
      <c r="Y48" s="48"/>
      <c r="Z48" s="48"/>
      <c r="AA48" s="48"/>
      <c r="AB48" s="48"/>
      <c r="AC48" s="47">
        <f t="shared" si="51"/>
        <v>0</v>
      </c>
      <c r="AD48" s="47">
        <f t="shared" si="51"/>
        <v>0</v>
      </c>
      <c r="AE48" s="49">
        <f t="shared" si="24"/>
        <v>0</v>
      </c>
      <c r="AF48" s="49">
        <f t="shared" si="8"/>
        <v>0</v>
      </c>
      <c r="AG48" s="49">
        <f t="shared" si="9"/>
        <v>0</v>
      </c>
      <c r="AH48" s="49">
        <f t="shared" si="10"/>
        <v>4387.3812499999995</v>
      </c>
      <c r="AI48" s="49">
        <f t="shared" si="11"/>
        <v>0</v>
      </c>
      <c r="AJ48" s="49">
        <f t="shared" si="12"/>
        <v>0</v>
      </c>
      <c r="AK48" s="49">
        <f t="shared" si="13"/>
        <v>0</v>
      </c>
      <c r="AL48" s="49">
        <f t="shared" si="14"/>
        <v>4387.3812499999995</v>
      </c>
      <c r="AM48" s="49">
        <f t="shared" si="15"/>
        <v>0</v>
      </c>
      <c r="AN48" s="49">
        <f t="shared" si="16"/>
        <v>0</v>
      </c>
      <c r="AO48" s="49">
        <f t="shared" si="17"/>
        <v>0</v>
      </c>
      <c r="AP48" s="49">
        <f t="shared" si="18"/>
        <v>4387.3812499999995</v>
      </c>
      <c r="AQ48" s="57"/>
      <c r="AR48" s="49">
        <f t="shared" si="54"/>
        <v>0</v>
      </c>
      <c r="AS48" s="57"/>
      <c r="AT48" s="49">
        <f t="shared" si="55"/>
        <v>0</v>
      </c>
      <c r="AU48" s="57"/>
      <c r="AV48" s="49">
        <f t="shared" si="56"/>
        <v>0</v>
      </c>
      <c r="AW48" s="57"/>
      <c r="AX48" s="49">
        <f t="shared" si="52"/>
        <v>0</v>
      </c>
      <c r="AY48" s="57"/>
      <c r="AZ48" s="49">
        <f t="shared" si="57"/>
        <v>0</v>
      </c>
      <c r="BA48" s="57"/>
      <c r="BB48" s="49">
        <f t="shared" si="58"/>
        <v>0</v>
      </c>
      <c r="BC48" s="57"/>
      <c r="BD48" s="49">
        <f t="shared" si="59"/>
        <v>0</v>
      </c>
      <c r="BE48" s="57"/>
      <c r="BF48" s="49">
        <f t="shared" si="53"/>
        <v>0</v>
      </c>
      <c r="BG48" s="57"/>
      <c r="BH48" s="49">
        <f t="shared" si="28"/>
        <v>0</v>
      </c>
      <c r="BI48" s="57"/>
      <c r="BJ48" s="49">
        <f t="shared" si="29"/>
        <v>0</v>
      </c>
      <c r="BK48" s="57"/>
      <c r="BL48" s="49">
        <f t="shared" si="30"/>
        <v>0</v>
      </c>
      <c r="BM48" s="57"/>
      <c r="BN48" s="49">
        <f t="shared" si="31"/>
        <v>0</v>
      </c>
      <c r="BO48" s="58"/>
      <c r="BP48" s="49">
        <f t="shared" si="32"/>
        <v>0</v>
      </c>
      <c r="BQ48" s="58"/>
      <c r="BR48" s="49">
        <f t="shared" si="33"/>
        <v>0</v>
      </c>
      <c r="BS48" s="57"/>
      <c r="BT48" s="49"/>
      <c r="BU48" s="57"/>
      <c r="BV48" s="49"/>
      <c r="BW48" s="56"/>
      <c r="BX48" s="49"/>
      <c r="BY48" s="59"/>
      <c r="BZ48" s="49">
        <f t="shared" si="34"/>
        <v>0</v>
      </c>
      <c r="CA48" s="59"/>
      <c r="CB48" s="49">
        <f t="shared" si="35"/>
        <v>0</v>
      </c>
      <c r="CC48" s="60"/>
      <c r="CD48" s="49">
        <f t="shared" si="36"/>
        <v>0</v>
      </c>
      <c r="CE48" s="57">
        <f t="shared" si="37"/>
        <v>1</v>
      </c>
      <c r="CF48" s="49">
        <f t="shared" si="38"/>
        <v>1316.2143749999998</v>
      </c>
      <c r="CG48" s="49"/>
      <c r="CH48" s="49">
        <f t="shared" si="39"/>
        <v>438.73812499999997</v>
      </c>
      <c r="CI48" s="49"/>
      <c r="CJ48" s="61">
        <f t="shared" si="40"/>
        <v>438.73812499999997</v>
      </c>
      <c r="CK48" s="49">
        <f t="shared" si="23"/>
        <v>4826.1193749999993</v>
      </c>
      <c r="CL48" s="106">
        <f t="shared" si="41"/>
        <v>6142.3337499999989</v>
      </c>
    </row>
    <row r="49" spans="1:90" s="62" customFormat="1" x14ac:dyDescent="0.25">
      <c r="A49" s="52">
        <v>16</v>
      </c>
      <c r="B49" s="112" t="s">
        <v>110</v>
      </c>
      <c r="C49" s="71" t="s">
        <v>141</v>
      </c>
      <c r="D49" s="74" t="s">
        <v>82</v>
      </c>
      <c r="E49" s="66">
        <v>23.04</v>
      </c>
      <c r="F49" s="74" t="s">
        <v>92</v>
      </c>
      <c r="G49" s="78">
        <f>5.12*17697</f>
        <v>90608.639999999999</v>
      </c>
      <c r="H49" s="49">
        <f t="shared" si="5"/>
        <v>113260.8</v>
      </c>
      <c r="I49" s="48"/>
      <c r="J49" s="48"/>
      <c r="K49" s="48">
        <v>20</v>
      </c>
      <c r="L49" s="48">
        <v>2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7">
        <f t="shared" si="50"/>
        <v>0</v>
      </c>
      <c r="X49" s="47">
        <f t="shared" si="50"/>
        <v>0</v>
      </c>
      <c r="Y49" s="48"/>
      <c r="Z49" s="48"/>
      <c r="AA49" s="48"/>
      <c r="AB49" s="48"/>
      <c r="AC49" s="47">
        <f t="shared" si="51"/>
        <v>0</v>
      </c>
      <c r="AD49" s="47">
        <f t="shared" si="51"/>
        <v>0</v>
      </c>
      <c r="AE49" s="49">
        <f t="shared" si="24"/>
        <v>0</v>
      </c>
      <c r="AF49" s="49">
        <f t="shared" si="8"/>
        <v>138429.86666666667</v>
      </c>
      <c r="AG49" s="49">
        <f t="shared" si="9"/>
        <v>0</v>
      </c>
      <c r="AH49" s="49">
        <f t="shared" si="10"/>
        <v>0</v>
      </c>
      <c r="AI49" s="49">
        <f t="shared" si="11"/>
        <v>0</v>
      </c>
      <c r="AJ49" s="49">
        <f t="shared" si="12"/>
        <v>0</v>
      </c>
      <c r="AK49" s="49">
        <f t="shared" si="13"/>
        <v>0</v>
      </c>
      <c r="AL49" s="49">
        <f t="shared" si="14"/>
        <v>0</v>
      </c>
      <c r="AM49" s="49">
        <f t="shared" si="15"/>
        <v>0</v>
      </c>
      <c r="AN49" s="49">
        <f t="shared" si="16"/>
        <v>0</v>
      </c>
      <c r="AO49" s="49">
        <f t="shared" si="17"/>
        <v>0</v>
      </c>
      <c r="AP49" s="49">
        <f t="shared" si="18"/>
        <v>138429.86666666667</v>
      </c>
      <c r="AQ49" s="57"/>
      <c r="AR49" s="49">
        <f t="shared" si="54"/>
        <v>0</v>
      </c>
      <c r="AS49" s="57"/>
      <c r="AT49" s="49">
        <f t="shared" si="55"/>
        <v>0</v>
      </c>
      <c r="AU49" s="57"/>
      <c r="AV49" s="49">
        <f t="shared" si="56"/>
        <v>0</v>
      </c>
      <c r="AW49" s="57">
        <v>9</v>
      </c>
      <c r="AX49" s="49">
        <f t="shared" si="52"/>
        <v>1769.6999999999998</v>
      </c>
      <c r="AY49" s="57"/>
      <c r="AZ49" s="49">
        <f t="shared" si="57"/>
        <v>0</v>
      </c>
      <c r="BA49" s="57"/>
      <c r="BB49" s="49">
        <f t="shared" si="58"/>
        <v>0</v>
      </c>
      <c r="BC49" s="57"/>
      <c r="BD49" s="49">
        <f t="shared" si="59"/>
        <v>0</v>
      </c>
      <c r="BE49" s="57"/>
      <c r="BF49" s="49">
        <f t="shared" si="53"/>
        <v>0</v>
      </c>
      <c r="BG49" s="57"/>
      <c r="BH49" s="49">
        <f t="shared" si="28"/>
        <v>0</v>
      </c>
      <c r="BI49" s="57"/>
      <c r="BJ49" s="49">
        <f t="shared" si="29"/>
        <v>0</v>
      </c>
      <c r="BK49" s="57"/>
      <c r="BL49" s="49">
        <f t="shared" si="30"/>
        <v>0</v>
      </c>
      <c r="BM49" s="57"/>
      <c r="BN49" s="49">
        <f t="shared" si="31"/>
        <v>0</v>
      </c>
      <c r="BO49" s="58"/>
      <c r="BP49" s="49">
        <f t="shared" si="32"/>
        <v>0</v>
      </c>
      <c r="BQ49" s="58">
        <v>0.5</v>
      </c>
      <c r="BR49" s="49">
        <f t="shared" si="33"/>
        <v>4424.25</v>
      </c>
      <c r="BS49" s="57"/>
      <c r="BT49" s="49">
        <f t="shared" si="42"/>
        <v>0</v>
      </c>
      <c r="BU49" s="57"/>
      <c r="BV49" s="49">
        <f t="shared" si="43"/>
        <v>0</v>
      </c>
      <c r="BW49" s="56"/>
      <c r="BX49" s="49">
        <f t="shared" si="44"/>
        <v>0</v>
      </c>
      <c r="BY49" s="59"/>
      <c r="BZ49" s="49">
        <f t="shared" si="34"/>
        <v>0</v>
      </c>
      <c r="CA49" s="59"/>
      <c r="CB49" s="49">
        <f t="shared" si="35"/>
        <v>0</v>
      </c>
      <c r="CC49" s="60">
        <v>22</v>
      </c>
      <c r="CD49" s="49">
        <f t="shared" si="36"/>
        <v>55371.946666666678</v>
      </c>
      <c r="CE49" s="57">
        <f t="shared" si="37"/>
        <v>22</v>
      </c>
      <c r="CF49" s="49">
        <f t="shared" si="38"/>
        <v>41528.959999999999</v>
      </c>
      <c r="CG49" s="49"/>
      <c r="CH49" s="49">
        <f t="shared" si="39"/>
        <v>13842.986666666668</v>
      </c>
      <c r="CI49" s="49"/>
      <c r="CJ49" s="61">
        <f t="shared" si="40"/>
        <v>20036.936666666668</v>
      </c>
      <c r="CK49" s="49">
        <f t="shared" si="23"/>
        <v>158466.80333333334</v>
      </c>
      <c r="CL49" s="106">
        <f t="shared" si="41"/>
        <v>255367.71000000002</v>
      </c>
    </row>
    <row r="50" spans="1:90" s="62" customFormat="1" x14ac:dyDescent="0.25">
      <c r="A50" s="70"/>
      <c r="B50" s="112" t="s">
        <v>110</v>
      </c>
      <c r="C50" s="79" t="s">
        <v>83</v>
      </c>
      <c r="D50" s="75"/>
      <c r="E50" s="68"/>
      <c r="F50" s="75" t="s">
        <v>93</v>
      </c>
      <c r="G50" s="80">
        <f>4.67*17697</f>
        <v>82644.990000000005</v>
      </c>
      <c r="H50" s="49">
        <f t="shared" si="5"/>
        <v>103306.2375</v>
      </c>
      <c r="I50" s="51"/>
      <c r="J50" s="51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v>5</v>
      </c>
      <c r="V50" s="48"/>
      <c r="W50" s="47">
        <f t="shared" si="50"/>
        <v>5</v>
      </c>
      <c r="X50" s="47">
        <f t="shared" si="50"/>
        <v>0</v>
      </c>
      <c r="Y50" s="48"/>
      <c r="Z50" s="48"/>
      <c r="AA50" s="48"/>
      <c r="AB50" s="48"/>
      <c r="AC50" s="47">
        <f t="shared" si="51"/>
        <v>0</v>
      </c>
      <c r="AD50" s="47">
        <f t="shared" si="51"/>
        <v>0</v>
      </c>
      <c r="AE50" s="49">
        <f t="shared" si="24"/>
        <v>0</v>
      </c>
      <c r="AF50" s="49">
        <f t="shared" si="8"/>
        <v>0</v>
      </c>
      <c r="AG50" s="49">
        <f t="shared" si="9"/>
        <v>0</v>
      </c>
      <c r="AH50" s="49">
        <f t="shared" si="10"/>
        <v>0</v>
      </c>
      <c r="AI50" s="49">
        <f t="shared" si="11"/>
        <v>0</v>
      </c>
      <c r="AJ50" s="49">
        <f t="shared" si="12"/>
        <v>0</v>
      </c>
      <c r="AK50" s="49">
        <f t="shared" si="13"/>
        <v>28696.177083333332</v>
      </c>
      <c r="AL50" s="49">
        <f t="shared" si="14"/>
        <v>28696.177083333332</v>
      </c>
      <c r="AM50" s="49">
        <f t="shared" si="15"/>
        <v>0</v>
      </c>
      <c r="AN50" s="49">
        <f t="shared" si="16"/>
        <v>0</v>
      </c>
      <c r="AO50" s="49">
        <f t="shared" si="17"/>
        <v>0</v>
      </c>
      <c r="AP50" s="49">
        <f t="shared" si="18"/>
        <v>28696.177083333332</v>
      </c>
      <c r="AQ50" s="57"/>
      <c r="AR50" s="49">
        <f t="shared" si="54"/>
        <v>0</v>
      </c>
      <c r="AS50" s="57"/>
      <c r="AT50" s="49">
        <f t="shared" si="55"/>
        <v>0</v>
      </c>
      <c r="AU50" s="57"/>
      <c r="AV50" s="49">
        <f t="shared" si="56"/>
        <v>0</v>
      </c>
      <c r="AW50" s="57"/>
      <c r="AX50" s="49">
        <f t="shared" si="52"/>
        <v>0</v>
      </c>
      <c r="AY50" s="57"/>
      <c r="AZ50" s="49">
        <f t="shared" si="57"/>
        <v>0</v>
      </c>
      <c r="BA50" s="57"/>
      <c r="BB50" s="49">
        <f t="shared" si="58"/>
        <v>0</v>
      </c>
      <c r="BC50" s="57"/>
      <c r="BD50" s="49">
        <f t="shared" si="59"/>
        <v>0</v>
      </c>
      <c r="BE50" s="57">
        <v>5</v>
      </c>
      <c r="BF50" s="49">
        <f t="shared" si="53"/>
        <v>983.16666666666663</v>
      </c>
      <c r="BG50" s="57"/>
      <c r="BH50" s="49">
        <f t="shared" si="28"/>
        <v>0</v>
      </c>
      <c r="BI50" s="57"/>
      <c r="BJ50" s="49">
        <f t="shared" si="29"/>
        <v>0</v>
      </c>
      <c r="BK50" s="57"/>
      <c r="BL50" s="49">
        <f t="shared" si="30"/>
        <v>0</v>
      </c>
      <c r="BM50" s="57"/>
      <c r="BN50" s="49">
        <f t="shared" si="31"/>
        <v>0</v>
      </c>
      <c r="BO50" s="58"/>
      <c r="BP50" s="49">
        <f t="shared" si="32"/>
        <v>0</v>
      </c>
      <c r="BQ50" s="58"/>
      <c r="BR50" s="49">
        <f t="shared" si="33"/>
        <v>0</v>
      </c>
      <c r="BS50" s="57"/>
      <c r="BT50" s="49"/>
      <c r="BU50" s="57"/>
      <c r="BV50" s="49"/>
      <c r="BW50" s="56"/>
      <c r="BX50" s="49"/>
      <c r="BY50" s="59"/>
      <c r="BZ50" s="49">
        <f t="shared" si="34"/>
        <v>0</v>
      </c>
      <c r="CA50" s="59"/>
      <c r="CB50" s="49">
        <f t="shared" si="35"/>
        <v>0</v>
      </c>
      <c r="CC50" s="60"/>
      <c r="CD50" s="49">
        <f t="shared" si="36"/>
        <v>0</v>
      </c>
      <c r="CE50" s="57">
        <f t="shared" si="37"/>
        <v>5</v>
      </c>
      <c r="CF50" s="49">
        <f t="shared" si="38"/>
        <v>8608.8531250000015</v>
      </c>
      <c r="CG50" s="49"/>
      <c r="CH50" s="49">
        <f t="shared" si="39"/>
        <v>2869.6177083333332</v>
      </c>
      <c r="CI50" s="49"/>
      <c r="CJ50" s="61">
        <f t="shared" si="40"/>
        <v>3852.7843749999997</v>
      </c>
      <c r="CK50" s="49">
        <f t="shared" si="23"/>
        <v>32548.961458333331</v>
      </c>
      <c r="CL50" s="106">
        <f t="shared" si="41"/>
        <v>41157.814583333333</v>
      </c>
    </row>
    <row r="51" spans="1:90" s="62" customFormat="1" x14ac:dyDescent="0.25">
      <c r="A51" s="70">
        <v>17</v>
      </c>
      <c r="B51" s="71" t="s">
        <v>129</v>
      </c>
      <c r="C51" s="71" t="s">
        <v>47</v>
      </c>
      <c r="D51" s="74" t="s">
        <v>116</v>
      </c>
      <c r="E51" s="66">
        <v>11.02</v>
      </c>
      <c r="F51" s="74" t="s">
        <v>97</v>
      </c>
      <c r="G51" s="78">
        <f>4.03*17697</f>
        <v>71318.91</v>
      </c>
      <c r="H51" s="49">
        <f t="shared" si="5"/>
        <v>89148.637500000012</v>
      </c>
      <c r="I51" s="51">
        <v>18</v>
      </c>
      <c r="J51" s="51">
        <v>4</v>
      </c>
      <c r="K51" s="48">
        <v>1</v>
      </c>
      <c r="L51" s="48"/>
      <c r="M51" s="48"/>
      <c r="N51" s="48"/>
      <c r="O51" s="48"/>
      <c r="P51" s="48"/>
      <c r="Q51" s="48">
        <v>1</v>
      </c>
      <c r="R51" s="48"/>
      <c r="S51" s="48"/>
      <c r="T51" s="48"/>
      <c r="U51" s="48">
        <v>0.5</v>
      </c>
      <c r="V51" s="48"/>
      <c r="W51" s="47">
        <f t="shared" si="50"/>
        <v>1.5</v>
      </c>
      <c r="X51" s="47">
        <f t="shared" si="50"/>
        <v>0</v>
      </c>
      <c r="Y51" s="48"/>
      <c r="Z51" s="48"/>
      <c r="AA51" s="48"/>
      <c r="AB51" s="48"/>
      <c r="AC51" s="47">
        <f t="shared" si="51"/>
        <v>0</v>
      </c>
      <c r="AD51" s="47">
        <f t="shared" si="51"/>
        <v>0</v>
      </c>
      <c r="AE51" s="49">
        <f>H51/24*(I51+J51)</f>
        <v>81719.58437500002</v>
      </c>
      <c r="AF51" s="49">
        <f t="shared" si="8"/>
        <v>4952.7020833333336</v>
      </c>
      <c r="AG51" s="49">
        <f t="shared" si="9"/>
        <v>0</v>
      </c>
      <c r="AH51" s="49">
        <f t="shared" si="10"/>
        <v>0</v>
      </c>
      <c r="AI51" s="49">
        <f t="shared" si="11"/>
        <v>4952.7020833333336</v>
      </c>
      <c r="AJ51" s="49">
        <f t="shared" si="12"/>
        <v>0</v>
      </c>
      <c r="AK51" s="49">
        <f t="shared" si="13"/>
        <v>2476.3510416666668</v>
      </c>
      <c r="AL51" s="49">
        <f t="shared" si="14"/>
        <v>7429.0531250000004</v>
      </c>
      <c r="AM51" s="49">
        <f t="shared" si="15"/>
        <v>0</v>
      </c>
      <c r="AN51" s="49">
        <f t="shared" si="16"/>
        <v>0</v>
      </c>
      <c r="AO51" s="49">
        <f t="shared" si="17"/>
        <v>0</v>
      </c>
      <c r="AP51" s="49">
        <f t="shared" si="18"/>
        <v>94101.339583333363</v>
      </c>
      <c r="AQ51" s="57"/>
      <c r="AR51" s="49">
        <f t="shared" si="54"/>
        <v>0</v>
      </c>
      <c r="AS51" s="57"/>
      <c r="AT51" s="49">
        <f t="shared" si="55"/>
        <v>0</v>
      </c>
      <c r="AU51" s="57"/>
      <c r="AV51" s="49">
        <f t="shared" si="56"/>
        <v>0</v>
      </c>
      <c r="AW51" s="57"/>
      <c r="AX51" s="49">
        <f t="shared" si="52"/>
        <v>0</v>
      </c>
      <c r="AY51" s="57"/>
      <c r="AZ51" s="49">
        <f t="shared" si="57"/>
        <v>0</v>
      </c>
      <c r="BA51" s="57"/>
      <c r="BB51" s="49">
        <f t="shared" si="58"/>
        <v>0</v>
      </c>
      <c r="BC51" s="57"/>
      <c r="BD51" s="49">
        <f t="shared" si="59"/>
        <v>0</v>
      </c>
      <c r="BE51" s="57"/>
      <c r="BF51" s="49">
        <f t="shared" si="53"/>
        <v>0</v>
      </c>
      <c r="BG51" s="57"/>
      <c r="BH51" s="49">
        <f t="shared" si="28"/>
        <v>0</v>
      </c>
      <c r="BI51" s="57"/>
      <c r="BJ51" s="49">
        <f t="shared" si="29"/>
        <v>0</v>
      </c>
      <c r="BK51" s="57"/>
      <c r="BL51" s="49">
        <f t="shared" si="30"/>
        <v>0</v>
      </c>
      <c r="BM51" s="57"/>
      <c r="BN51" s="49">
        <f t="shared" si="31"/>
        <v>0</v>
      </c>
      <c r="BO51" s="58"/>
      <c r="BP51" s="49">
        <f t="shared" si="32"/>
        <v>0</v>
      </c>
      <c r="BQ51" s="58"/>
      <c r="BR51" s="49">
        <f t="shared" si="33"/>
        <v>0</v>
      </c>
      <c r="BS51" s="57"/>
      <c r="BT51" s="49">
        <f t="shared" si="42"/>
        <v>0</v>
      </c>
      <c r="BU51" s="57"/>
      <c r="BV51" s="49">
        <f t="shared" si="43"/>
        <v>0</v>
      </c>
      <c r="BW51" s="56"/>
      <c r="BX51" s="49">
        <f t="shared" si="44"/>
        <v>0</v>
      </c>
      <c r="BY51" s="59">
        <v>22</v>
      </c>
      <c r="BZ51" s="49">
        <f>H51*0.3/24*BY51</f>
        <v>24515.8753125</v>
      </c>
      <c r="CA51" s="59"/>
      <c r="CB51" s="49">
        <f t="shared" si="35"/>
        <v>0</v>
      </c>
      <c r="CC51" s="60"/>
      <c r="CD51" s="49">
        <f t="shared" si="36"/>
        <v>0</v>
      </c>
      <c r="CE51" s="57">
        <f t="shared" si="37"/>
        <v>2.5</v>
      </c>
      <c r="CF51" s="49">
        <f t="shared" si="38"/>
        <v>3714.5265625000002</v>
      </c>
      <c r="CG51" s="49"/>
      <c r="CH51" s="49">
        <f t="shared" si="39"/>
        <v>9410.1339583333374</v>
      </c>
      <c r="CI51" s="49"/>
      <c r="CJ51" s="61">
        <f t="shared" si="40"/>
        <v>9410.1339583333374</v>
      </c>
      <c r="CK51" s="49">
        <f t="shared" si="23"/>
        <v>103511.4735416667</v>
      </c>
      <c r="CL51" s="106">
        <f t="shared" si="41"/>
        <v>131741.87541666671</v>
      </c>
    </row>
    <row r="52" spans="1:90" s="62" customFormat="1" x14ac:dyDescent="0.25">
      <c r="A52" s="82">
        <v>20</v>
      </c>
      <c r="B52" s="75" t="s">
        <v>111</v>
      </c>
      <c r="C52" s="79" t="s">
        <v>118</v>
      </c>
      <c r="D52" s="75" t="s">
        <v>116</v>
      </c>
      <c r="E52" s="68">
        <v>4</v>
      </c>
      <c r="F52" s="75" t="s">
        <v>95</v>
      </c>
      <c r="G52" s="80">
        <f>3.49*17697</f>
        <v>61762.530000000006</v>
      </c>
      <c r="H52" s="49">
        <f t="shared" si="5"/>
        <v>77203.162500000006</v>
      </c>
      <c r="I52" s="51"/>
      <c r="J52" s="51"/>
      <c r="K52" s="48">
        <v>3</v>
      </c>
      <c r="L52" s="48"/>
      <c r="M52" s="48"/>
      <c r="N52" s="48"/>
      <c r="O52" s="48">
        <v>3</v>
      </c>
      <c r="P52" s="48"/>
      <c r="Q52" s="48">
        <v>3</v>
      </c>
      <c r="R52" s="48"/>
      <c r="S52" s="48"/>
      <c r="T52" s="48"/>
      <c r="U52" s="48">
        <v>3</v>
      </c>
      <c r="V52" s="48"/>
      <c r="W52" s="47">
        <f t="shared" si="50"/>
        <v>9</v>
      </c>
      <c r="X52" s="47">
        <f t="shared" si="50"/>
        <v>0</v>
      </c>
      <c r="Y52" s="48"/>
      <c r="Z52" s="48"/>
      <c r="AA52" s="48">
        <v>3</v>
      </c>
      <c r="AB52" s="48"/>
      <c r="AC52" s="47">
        <f t="shared" si="51"/>
        <v>3</v>
      </c>
      <c r="AD52" s="47">
        <f t="shared" si="51"/>
        <v>0</v>
      </c>
      <c r="AE52" s="49">
        <f t="shared" si="24"/>
        <v>0</v>
      </c>
      <c r="AF52" s="49">
        <f t="shared" si="8"/>
        <v>12867.193750000002</v>
      </c>
      <c r="AG52" s="49">
        <f t="shared" si="9"/>
        <v>0</v>
      </c>
      <c r="AH52" s="49">
        <f t="shared" si="10"/>
        <v>12867.193750000002</v>
      </c>
      <c r="AI52" s="49">
        <f t="shared" si="11"/>
        <v>12867.193750000002</v>
      </c>
      <c r="AJ52" s="49">
        <f t="shared" si="12"/>
        <v>0</v>
      </c>
      <c r="AK52" s="49">
        <f t="shared" si="13"/>
        <v>12867.193750000002</v>
      </c>
      <c r="AL52" s="49">
        <f t="shared" si="14"/>
        <v>38601.581250000003</v>
      </c>
      <c r="AM52" s="49">
        <f t="shared" si="15"/>
        <v>0</v>
      </c>
      <c r="AN52" s="49">
        <f t="shared" si="16"/>
        <v>12867.193750000002</v>
      </c>
      <c r="AO52" s="49">
        <f t="shared" si="17"/>
        <v>12867.193750000002</v>
      </c>
      <c r="AP52" s="49">
        <f t="shared" si="18"/>
        <v>64335.968750000015</v>
      </c>
      <c r="AQ52" s="57"/>
      <c r="AR52" s="49">
        <f t="shared" si="54"/>
        <v>0</v>
      </c>
      <c r="AS52" s="57"/>
      <c r="AT52" s="49">
        <f t="shared" si="55"/>
        <v>0</v>
      </c>
      <c r="AU52" s="57"/>
      <c r="AV52" s="49">
        <f t="shared" si="56"/>
        <v>0</v>
      </c>
      <c r="AW52" s="57"/>
      <c r="AX52" s="49">
        <f t="shared" si="52"/>
        <v>0</v>
      </c>
      <c r="AY52" s="57"/>
      <c r="AZ52" s="49">
        <f t="shared" si="57"/>
        <v>0</v>
      </c>
      <c r="BA52" s="57"/>
      <c r="BB52" s="49">
        <f t="shared" si="58"/>
        <v>0</v>
      </c>
      <c r="BC52" s="57"/>
      <c r="BD52" s="49">
        <f t="shared" si="59"/>
        <v>0</v>
      </c>
      <c r="BE52" s="57"/>
      <c r="BF52" s="49">
        <f t="shared" si="53"/>
        <v>0</v>
      </c>
      <c r="BG52" s="57"/>
      <c r="BH52" s="49">
        <f t="shared" si="28"/>
        <v>0</v>
      </c>
      <c r="BI52" s="57"/>
      <c r="BJ52" s="49">
        <f t="shared" si="29"/>
        <v>0</v>
      </c>
      <c r="BK52" s="57"/>
      <c r="BL52" s="49">
        <f t="shared" si="30"/>
        <v>0</v>
      </c>
      <c r="BM52" s="57"/>
      <c r="BN52" s="49">
        <f t="shared" si="31"/>
        <v>0</v>
      </c>
      <c r="BO52" s="58"/>
      <c r="BP52" s="49">
        <f t="shared" si="32"/>
        <v>0</v>
      </c>
      <c r="BQ52" s="58"/>
      <c r="BR52" s="49">
        <f t="shared" si="33"/>
        <v>0</v>
      </c>
      <c r="BS52" s="57"/>
      <c r="BT52" s="49">
        <f t="shared" si="42"/>
        <v>0</v>
      </c>
      <c r="BU52" s="57"/>
      <c r="BV52" s="49">
        <f t="shared" si="43"/>
        <v>0</v>
      </c>
      <c r="BW52" s="56"/>
      <c r="BX52" s="49">
        <f t="shared" si="44"/>
        <v>0</v>
      </c>
      <c r="BY52" s="59"/>
      <c r="BZ52" s="49">
        <f t="shared" si="34"/>
        <v>0</v>
      </c>
      <c r="CA52" s="59"/>
      <c r="CB52" s="49">
        <f t="shared" si="35"/>
        <v>0</v>
      </c>
      <c r="CC52" s="60"/>
      <c r="CD52" s="49">
        <f t="shared" si="36"/>
        <v>0</v>
      </c>
      <c r="CE52" s="57">
        <f t="shared" si="37"/>
        <v>15</v>
      </c>
      <c r="CF52" s="49">
        <f t="shared" si="38"/>
        <v>19300.790624999998</v>
      </c>
      <c r="CG52" s="49"/>
      <c r="CH52" s="49">
        <f t="shared" si="39"/>
        <v>6433.596875000002</v>
      </c>
      <c r="CI52" s="49"/>
      <c r="CJ52" s="61">
        <f t="shared" si="40"/>
        <v>6433.596875000002</v>
      </c>
      <c r="CK52" s="49">
        <f t="shared" si="23"/>
        <v>70769.565625000017</v>
      </c>
      <c r="CL52" s="106">
        <f t="shared" si="41"/>
        <v>90070.356250000012</v>
      </c>
    </row>
    <row r="53" spans="1:90" s="62" customFormat="1" x14ac:dyDescent="0.25">
      <c r="A53" s="82"/>
      <c r="B53" s="79"/>
      <c r="C53" s="79" t="s">
        <v>117</v>
      </c>
      <c r="D53" s="75" t="s">
        <v>116</v>
      </c>
      <c r="E53" s="68"/>
      <c r="F53" s="75"/>
      <c r="G53" s="80">
        <f>3.49*17697</f>
        <v>61762.530000000006</v>
      </c>
      <c r="H53" s="49">
        <f t="shared" si="5"/>
        <v>77203.162500000006</v>
      </c>
      <c r="I53" s="51"/>
      <c r="J53" s="51"/>
      <c r="K53" s="48"/>
      <c r="L53" s="48"/>
      <c r="M53" s="48"/>
      <c r="N53" s="48"/>
      <c r="O53" s="48">
        <v>2</v>
      </c>
      <c r="P53" s="48"/>
      <c r="Q53" s="48"/>
      <c r="R53" s="48"/>
      <c r="S53" s="48"/>
      <c r="T53" s="48"/>
      <c r="U53" s="48">
        <v>0.5</v>
      </c>
      <c r="V53" s="48"/>
      <c r="W53" s="47">
        <f t="shared" si="50"/>
        <v>2.5</v>
      </c>
      <c r="X53" s="47">
        <f t="shared" si="50"/>
        <v>0</v>
      </c>
      <c r="Y53" s="48"/>
      <c r="Z53" s="48"/>
      <c r="AA53" s="48"/>
      <c r="AB53" s="48"/>
      <c r="AC53" s="47">
        <f t="shared" si="51"/>
        <v>0</v>
      </c>
      <c r="AD53" s="47">
        <f t="shared" si="51"/>
        <v>0</v>
      </c>
      <c r="AE53" s="49">
        <f t="shared" si="24"/>
        <v>0</v>
      </c>
      <c r="AF53" s="49">
        <f t="shared" si="8"/>
        <v>0</v>
      </c>
      <c r="AG53" s="49">
        <f t="shared" si="9"/>
        <v>0</v>
      </c>
      <c r="AH53" s="49">
        <f t="shared" si="10"/>
        <v>8578.1291666666675</v>
      </c>
      <c r="AI53" s="49">
        <f t="shared" si="11"/>
        <v>0</v>
      </c>
      <c r="AJ53" s="49">
        <f t="shared" si="12"/>
        <v>0</v>
      </c>
      <c r="AK53" s="49">
        <f t="shared" si="13"/>
        <v>2144.5322916666669</v>
      </c>
      <c r="AL53" s="49">
        <f t="shared" si="14"/>
        <v>10722.661458333334</v>
      </c>
      <c r="AM53" s="49">
        <f t="shared" si="15"/>
        <v>0</v>
      </c>
      <c r="AN53" s="49">
        <f t="shared" si="16"/>
        <v>0</v>
      </c>
      <c r="AO53" s="49">
        <f t="shared" si="17"/>
        <v>0</v>
      </c>
      <c r="AP53" s="49">
        <f t="shared" si="18"/>
        <v>10722.661458333334</v>
      </c>
      <c r="AQ53" s="57"/>
      <c r="AR53" s="49">
        <f t="shared" si="54"/>
        <v>0</v>
      </c>
      <c r="AS53" s="57"/>
      <c r="AT53" s="49">
        <f t="shared" si="55"/>
        <v>0</v>
      </c>
      <c r="AU53" s="57"/>
      <c r="AV53" s="49">
        <f t="shared" si="56"/>
        <v>0</v>
      </c>
      <c r="AW53" s="57"/>
      <c r="AX53" s="49">
        <f t="shared" si="52"/>
        <v>0</v>
      </c>
      <c r="AY53" s="57"/>
      <c r="AZ53" s="49">
        <f t="shared" si="57"/>
        <v>0</v>
      </c>
      <c r="BA53" s="57"/>
      <c r="BB53" s="49">
        <f t="shared" si="58"/>
        <v>0</v>
      </c>
      <c r="BC53" s="57"/>
      <c r="BD53" s="49">
        <f t="shared" si="59"/>
        <v>0</v>
      </c>
      <c r="BE53" s="57"/>
      <c r="BF53" s="49">
        <f t="shared" si="53"/>
        <v>0</v>
      </c>
      <c r="BG53" s="57"/>
      <c r="BH53" s="49">
        <f t="shared" si="28"/>
        <v>0</v>
      </c>
      <c r="BI53" s="57"/>
      <c r="BJ53" s="49">
        <f t="shared" si="29"/>
        <v>0</v>
      </c>
      <c r="BK53" s="57"/>
      <c r="BL53" s="49">
        <f t="shared" si="30"/>
        <v>0</v>
      </c>
      <c r="BM53" s="57"/>
      <c r="BN53" s="49">
        <f t="shared" si="31"/>
        <v>0</v>
      </c>
      <c r="BO53" s="58"/>
      <c r="BP53" s="49">
        <f t="shared" si="32"/>
        <v>0</v>
      </c>
      <c r="BQ53" s="58"/>
      <c r="BR53" s="49">
        <f t="shared" si="33"/>
        <v>0</v>
      </c>
      <c r="BS53" s="57"/>
      <c r="BT53" s="49"/>
      <c r="BU53" s="57"/>
      <c r="BV53" s="49"/>
      <c r="BW53" s="56"/>
      <c r="BX53" s="49"/>
      <c r="BY53" s="59"/>
      <c r="BZ53" s="49">
        <f t="shared" si="34"/>
        <v>0</v>
      </c>
      <c r="CA53" s="59"/>
      <c r="CB53" s="49">
        <f t="shared" si="35"/>
        <v>0</v>
      </c>
      <c r="CC53" s="60"/>
      <c r="CD53" s="49">
        <f t="shared" si="36"/>
        <v>0</v>
      </c>
      <c r="CE53" s="57">
        <f t="shared" si="37"/>
        <v>2.5</v>
      </c>
      <c r="CF53" s="49">
        <f t="shared" si="38"/>
        <v>3216.7984374999996</v>
      </c>
      <c r="CG53" s="49"/>
      <c r="CH53" s="49">
        <f t="shared" si="39"/>
        <v>1072.2661458333334</v>
      </c>
      <c r="CI53" s="49"/>
      <c r="CJ53" s="61">
        <f t="shared" si="40"/>
        <v>1072.2661458333334</v>
      </c>
      <c r="CK53" s="49">
        <f t="shared" si="23"/>
        <v>11794.927604166667</v>
      </c>
      <c r="CL53" s="106">
        <f t="shared" si="41"/>
        <v>15011.726041666667</v>
      </c>
    </row>
    <row r="54" spans="1:90" s="62" customFormat="1" x14ac:dyDescent="0.25">
      <c r="A54" s="82">
        <v>21</v>
      </c>
      <c r="B54" s="79" t="s">
        <v>119</v>
      </c>
      <c r="C54" s="79" t="s">
        <v>142</v>
      </c>
      <c r="D54" s="75" t="s">
        <v>77</v>
      </c>
      <c r="E54" s="68">
        <v>26.09</v>
      </c>
      <c r="F54" s="75" t="s">
        <v>96</v>
      </c>
      <c r="G54" s="80">
        <f>5.41*17697</f>
        <v>95740.77</v>
      </c>
      <c r="H54" s="49">
        <f t="shared" si="5"/>
        <v>119675.96250000001</v>
      </c>
      <c r="I54" s="51"/>
      <c r="J54" s="51"/>
      <c r="K54" s="48">
        <v>18</v>
      </c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7">
        <f t="shared" si="50"/>
        <v>0</v>
      </c>
      <c r="X54" s="47">
        <f t="shared" si="50"/>
        <v>0</v>
      </c>
      <c r="Y54" s="48"/>
      <c r="Z54" s="48"/>
      <c r="AA54" s="48"/>
      <c r="AB54" s="48"/>
      <c r="AC54" s="47">
        <f t="shared" si="51"/>
        <v>0</v>
      </c>
      <c r="AD54" s="47">
        <f t="shared" si="51"/>
        <v>0</v>
      </c>
      <c r="AE54" s="49">
        <f t="shared" si="24"/>
        <v>0</v>
      </c>
      <c r="AF54" s="49">
        <f t="shared" si="8"/>
        <v>119675.96250000001</v>
      </c>
      <c r="AG54" s="49">
        <f t="shared" si="9"/>
        <v>0</v>
      </c>
      <c r="AH54" s="49">
        <f t="shared" si="10"/>
        <v>0</v>
      </c>
      <c r="AI54" s="49">
        <f t="shared" si="11"/>
        <v>0</v>
      </c>
      <c r="AJ54" s="49">
        <f t="shared" si="12"/>
        <v>0</v>
      </c>
      <c r="AK54" s="49">
        <f t="shared" si="13"/>
        <v>0</v>
      </c>
      <c r="AL54" s="49">
        <f t="shared" si="14"/>
        <v>0</v>
      </c>
      <c r="AM54" s="49">
        <f t="shared" si="15"/>
        <v>0</v>
      </c>
      <c r="AN54" s="49">
        <f t="shared" si="16"/>
        <v>0</v>
      </c>
      <c r="AO54" s="49">
        <f t="shared" si="17"/>
        <v>0</v>
      </c>
      <c r="AP54" s="49">
        <f t="shared" si="18"/>
        <v>119675.96250000001</v>
      </c>
      <c r="AQ54" s="57"/>
      <c r="AR54" s="49">
        <f t="shared" si="54"/>
        <v>0</v>
      </c>
      <c r="AS54" s="57">
        <v>0</v>
      </c>
      <c r="AT54" s="49">
        <f t="shared" si="55"/>
        <v>0</v>
      </c>
      <c r="AU54" s="57"/>
      <c r="AV54" s="49">
        <f t="shared" si="56"/>
        <v>0</v>
      </c>
      <c r="AW54" s="57">
        <v>9</v>
      </c>
      <c r="AX54" s="49">
        <f t="shared" si="52"/>
        <v>1769.6999999999998</v>
      </c>
      <c r="AY54" s="57"/>
      <c r="AZ54" s="49">
        <f t="shared" si="57"/>
        <v>0</v>
      </c>
      <c r="BA54" s="57"/>
      <c r="BB54" s="49">
        <f t="shared" si="58"/>
        <v>0</v>
      </c>
      <c r="BC54" s="57"/>
      <c r="BD54" s="49">
        <f t="shared" si="59"/>
        <v>0</v>
      </c>
      <c r="BE54" s="57"/>
      <c r="BF54" s="49">
        <f t="shared" si="53"/>
        <v>0</v>
      </c>
      <c r="BG54" s="57"/>
      <c r="BH54" s="49">
        <f t="shared" si="28"/>
        <v>0</v>
      </c>
      <c r="BI54" s="57"/>
      <c r="BJ54" s="49">
        <f t="shared" si="29"/>
        <v>0</v>
      </c>
      <c r="BK54" s="57"/>
      <c r="BL54" s="49">
        <f t="shared" si="30"/>
        <v>0</v>
      </c>
      <c r="BM54" s="57"/>
      <c r="BN54" s="49">
        <f t="shared" si="31"/>
        <v>0</v>
      </c>
      <c r="BO54" s="83"/>
      <c r="BP54" s="49">
        <f t="shared" si="32"/>
        <v>0</v>
      </c>
      <c r="BQ54" s="58">
        <v>0.5</v>
      </c>
      <c r="BR54" s="49">
        <f t="shared" si="33"/>
        <v>4424.25</v>
      </c>
      <c r="BS54" s="57"/>
      <c r="BT54" s="49">
        <f t="shared" si="42"/>
        <v>0</v>
      </c>
      <c r="BU54" s="57"/>
      <c r="BV54" s="49">
        <f t="shared" si="43"/>
        <v>0</v>
      </c>
      <c r="BW54" s="56"/>
      <c r="BX54" s="49">
        <f t="shared" si="44"/>
        <v>0</v>
      </c>
      <c r="BY54" s="59"/>
      <c r="BZ54" s="49">
        <f t="shared" si="34"/>
        <v>0</v>
      </c>
      <c r="CA54" s="59"/>
      <c r="CB54" s="49">
        <f t="shared" si="35"/>
        <v>0</v>
      </c>
      <c r="CC54" s="60">
        <v>18</v>
      </c>
      <c r="CD54" s="49">
        <f t="shared" si="36"/>
        <v>47870.385000000009</v>
      </c>
      <c r="CE54" s="57">
        <f t="shared" si="37"/>
        <v>18</v>
      </c>
      <c r="CF54" s="49">
        <f t="shared" si="38"/>
        <v>35902.78875</v>
      </c>
      <c r="CG54" s="49"/>
      <c r="CH54" s="49">
        <f t="shared" si="39"/>
        <v>11967.596250000002</v>
      </c>
      <c r="CI54" s="49"/>
      <c r="CJ54" s="61">
        <f t="shared" si="40"/>
        <v>18161.546250000003</v>
      </c>
      <c r="CK54" s="49">
        <f t="shared" si="23"/>
        <v>137837.50875000001</v>
      </c>
      <c r="CL54" s="106">
        <f t="shared" si="41"/>
        <v>221610.68250000002</v>
      </c>
    </row>
    <row r="55" spans="1:90" s="140" customFormat="1" x14ac:dyDescent="0.25">
      <c r="A55" s="141"/>
      <c r="B55" s="142" t="s">
        <v>130</v>
      </c>
      <c r="C55" s="142" t="s">
        <v>131</v>
      </c>
      <c r="D55" s="143" t="s">
        <v>77</v>
      </c>
      <c r="E55" s="144">
        <v>3.04</v>
      </c>
      <c r="F55" s="143" t="s">
        <v>94</v>
      </c>
      <c r="G55" s="145">
        <f>4.59*17697</f>
        <v>81229.23</v>
      </c>
      <c r="H55" s="131">
        <f t="shared" si="5"/>
        <v>101536.53749999999</v>
      </c>
      <c r="I55" s="146"/>
      <c r="J55" s="146"/>
      <c r="K55" s="132">
        <v>2</v>
      </c>
      <c r="L55" s="132"/>
      <c r="M55" s="132"/>
      <c r="N55" s="132"/>
      <c r="O55" s="132">
        <v>1</v>
      </c>
      <c r="P55" s="132"/>
      <c r="Q55" s="132">
        <v>1</v>
      </c>
      <c r="R55" s="132"/>
      <c r="S55" s="132"/>
      <c r="T55" s="132"/>
      <c r="U55" s="132">
        <v>1</v>
      </c>
      <c r="V55" s="132"/>
      <c r="W55" s="133">
        <f t="shared" si="50"/>
        <v>3</v>
      </c>
      <c r="X55" s="133">
        <f t="shared" si="50"/>
        <v>0</v>
      </c>
      <c r="Y55" s="132"/>
      <c r="Z55" s="132"/>
      <c r="AA55" s="132">
        <v>2</v>
      </c>
      <c r="AB55" s="132"/>
      <c r="AC55" s="133">
        <f t="shared" si="51"/>
        <v>2</v>
      </c>
      <c r="AD55" s="133">
        <f t="shared" si="51"/>
        <v>0</v>
      </c>
      <c r="AE55" s="131">
        <f t="shared" si="24"/>
        <v>0</v>
      </c>
      <c r="AF55" s="131">
        <f t="shared" si="8"/>
        <v>11281.8375</v>
      </c>
      <c r="AG55" s="131">
        <f t="shared" si="9"/>
        <v>0</v>
      </c>
      <c r="AH55" s="131">
        <f t="shared" si="10"/>
        <v>5640.9187499999998</v>
      </c>
      <c r="AI55" s="131">
        <f t="shared" si="11"/>
        <v>5640.9187499999998</v>
      </c>
      <c r="AJ55" s="131">
        <f t="shared" si="12"/>
        <v>0</v>
      </c>
      <c r="AK55" s="131">
        <f t="shared" si="13"/>
        <v>5640.9187499999998</v>
      </c>
      <c r="AL55" s="131">
        <f t="shared" si="14"/>
        <v>16922.756249999999</v>
      </c>
      <c r="AM55" s="131">
        <f t="shared" si="15"/>
        <v>0</v>
      </c>
      <c r="AN55" s="131">
        <f t="shared" si="16"/>
        <v>11281.8375</v>
      </c>
      <c r="AO55" s="131">
        <f t="shared" si="17"/>
        <v>11281.8375</v>
      </c>
      <c r="AP55" s="131">
        <f t="shared" si="18"/>
        <v>39486.431250000001</v>
      </c>
      <c r="AQ55" s="134"/>
      <c r="AR55" s="131">
        <f t="shared" si="54"/>
        <v>0</v>
      </c>
      <c r="AS55" s="134"/>
      <c r="AT55" s="131">
        <f t="shared" si="55"/>
        <v>0</v>
      </c>
      <c r="AU55" s="134"/>
      <c r="AV55" s="131">
        <f t="shared" si="56"/>
        <v>0</v>
      </c>
      <c r="AW55" s="134"/>
      <c r="AX55" s="131">
        <f t="shared" si="52"/>
        <v>0</v>
      </c>
      <c r="AY55" s="134"/>
      <c r="AZ55" s="131">
        <f t="shared" si="57"/>
        <v>0</v>
      </c>
      <c r="BA55" s="134"/>
      <c r="BB55" s="131">
        <f t="shared" si="58"/>
        <v>0</v>
      </c>
      <c r="BC55" s="134"/>
      <c r="BD55" s="131">
        <f t="shared" si="59"/>
        <v>0</v>
      </c>
      <c r="BE55" s="134"/>
      <c r="BF55" s="131">
        <f t="shared" si="53"/>
        <v>0</v>
      </c>
      <c r="BG55" s="134"/>
      <c r="BH55" s="131">
        <f t="shared" si="28"/>
        <v>0</v>
      </c>
      <c r="BI55" s="134"/>
      <c r="BJ55" s="131">
        <f t="shared" si="29"/>
        <v>0</v>
      </c>
      <c r="BK55" s="134"/>
      <c r="BL55" s="131">
        <f t="shared" si="30"/>
        <v>0</v>
      </c>
      <c r="BM55" s="134"/>
      <c r="BN55" s="131">
        <f t="shared" si="31"/>
        <v>0</v>
      </c>
      <c r="BO55" s="135"/>
      <c r="BP55" s="131">
        <f t="shared" si="32"/>
        <v>0</v>
      </c>
      <c r="BQ55" s="135"/>
      <c r="BR55" s="131">
        <f t="shared" si="33"/>
        <v>0</v>
      </c>
      <c r="BS55" s="134"/>
      <c r="BT55" s="131"/>
      <c r="BU55" s="134"/>
      <c r="BV55" s="131"/>
      <c r="BW55" s="130"/>
      <c r="BX55" s="131"/>
      <c r="BY55" s="136">
        <v>7</v>
      </c>
      <c r="BZ55" s="131">
        <f t="shared" si="34"/>
        <v>11845.929374999998</v>
      </c>
      <c r="CA55" s="136"/>
      <c r="CB55" s="131">
        <f t="shared" si="35"/>
        <v>0</v>
      </c>
      <c r="CC55" s="137"/>
      <c r="CD55" s="131">
        <f t="shared" si="36"/>
        <v>0</v>
      </c>
      <c r="CE55" s="134">
        <f t="shared" si="37"/>
        <v>7</v>
      </c>
      <c r="CF55" s="131">
        <f t="shared" si="38"/>
        <v>11845.929374999998</v>
      </c>
      <c r="CG55" s="131"/>
      <c r="CH55" s="131">
        <f t="shared" si="39"/>
        <v>3948.6431250000005</v>
      </c>
      <c r="CI55" s="131"/>
      <c r="CJ55" s="138">
        <f t="shared" si="40"/>
        <v>3948.6431250000005</v>
      </c>
      <c r="CK55" s="131">
        <f t="shared" si="23"/>
        <v>43435.074375000004</v>
      </c>
      <c r="CL55" s="139">
        <f t="shared" si="41"/>
        <v>67126.933124999996</v>
      </c>
    </row>
    <row r="56" spans="1:90" s="62" customFormat="1" x14ac:dyDescent="0.25">
      <c r="A56" s="82"/>
      <c r="B56" s="79"/>
      <c r="C56" s="79" t="s">
        <v>128</v>
      </c>
      <c r="D56" s="75" t="s">
        <v>116</v>
      </c>
      <c r="E56" s="68">
        <v>3</v>
      </c>
      <c r="F56" s="75" t="s">
        <v>95</v>
      </c>
      <c r="G56" s="80">
        <f>3.45*17697</f>
        <v>61054.65</v>
      </c>
      <c r="H56" s="49">
        <f t="shared" si="5"/>
        <v>76318.3125</v>
      </c>
      <c r="I56" s="51"/>
      <c r="J56" s="51"/>
      <c r="K56" s="48"/>
      <c r="L56" s="48"/>
      <c r="M56" s="48"/>
      <c r="N56" s="48"/>
      <c r="O56" s="48">
        <v>5</v>
      </c>
      <c r="P56" s="48"/>
      <c r="Q56" s="48">
        <v>5</v>
      </c>
      <c r="R56" s="48"/>
      <c r="S56" s="48"/>
      <c r="T56" s="48"/>
      <c r="U56" s="48"/>
      <c r="V56" s="48"/>
      <c r="W56" s="47">
        <f t="shared" si="50"/>
        <v>10</v>
      </c>
      <c r="X56" s="47">
        <f t="shared" si="50"/>
        <v>0</v>
      </c>
      <c r="Y56" s="48"/>
      <c r="Z56" s="48"/>
      <c r="AA56" s="48"/>
      <c r="AB56" s="48"/>
      <c r="AC56" s="47">
        <f t="shared" si="51"/>
        <v>0</v>
      </c>
      <c r="AD56" s="47">
        <f t="shared" si="51"/>
        <v>0</v>
      </c>
      <c r="AE56" s="49">
        <f t="shared" si="24"/>
        <v>0</v>
      </c>
      <c r="AF56" s="49">
        <f t="shared" si="8"/>
        <v>0</v>
      </c>
      <c r="AG56" s="49">
        <f t="shared" si="9"/>
        <v>0</v>
      </c>
      <c r="AH56" s="49">
        <f t="shared" si="10"/>
        <v>21199.53125</v>
      </c>
      <c r="AI56" s="49">
        <f t="shared" si="11"/>
        <v>21199.53125</v>
      </c>
      <c r="AJ56" s="49">
        <f t="shared" si="12"/>
        <v>0</v>
      </c>
      <c r="AK56" s="49">
        <f t="shared" si="13"/>
        <v>0</v>
      </c>
      <c r="AL56" s="49">
        <f t="shared" si="14"/>
        <v>42399.0625</v>
      </c>
      <c r="AM56" s="49">
        <f t="shared" si="15"/>
        <v>0</v>
      </c>
      <c r="AN56" s="49">
        <f t="shared" si="16"/>
        <v>0</v>
      </c>
      <c r="AO56" s="49">
        <f t="shared" si="17"/>
        <v>0</v>
      </c>
      <c r="AP56" s="49">
        <f t="shared" si="18"/>
        <v>42399.0625</v>
      </c>
      <c r="AQ56" s="57"/>
      <c r="AR56" s="49">
        <f t="shared" si="54"/>
        <v>0</v>
      </c>
      <c r="AS56" s="57"/>
      <c r="AT56" s="49">
        <f t="shared" si="55"/>
        <v>0</v>
      </c>
      <c r="AU56" s="57"/>
      <c r="AV56" s="49">
        <f t="shared" si="56"/>
        <v>0</v>
      </c>
      <c r="AW56" s="57"/>
      <c r="AX56" s="49">
        <f t="shared" si="52"/>
        <v>0</v>
      </c>
      <c r="AY56" s="57"/>
      <c r="AZ56" s="49">
        <f t="shared" si="57"/>
        <v>0</v>
      </c>
      <c r="BA56" s="57"/>
      <c r="BB56" s="49">
        <f t="shared" si="58"/>
        <v>0</v>
      </c>
      <c r="BC56" s="57"/>
      <c r="BD56" s="49">
        <f t="shared" si="59"/>
        <v>0</v>
      </c>
      <c r="BE56" s="57">
        <v>10</v>
      </c>
      <c r="BF56" s="49">
        <f t="shared" si="53"/>
        <v>1966.3333333333333</v>
      </c>
      <c r="BG56" s="57"/>
      <c r="BH56" s="49">
        <f t="shared" si="28"/>
        <v>0</v>
      </c>
      <c r="BI56" s="57"/>
      <c r="BJ56" s="49">
        <f t="shared" si="29"/>
        <v>0</v>
      </c>
      <c r="BK56" s="57"/>
      <c r="BL56" s="49">
        <f t="shared" si="30"/>
        <v>0</v>
      </c>
      <c r="BM56" s="57"/>
      <c r="BN56" s="49">
        <f t="shared" si="31"/>
        <v>0</v>
      </c>
      <c r="BO56" s="58"/>
      <c r="BP56" s="49">
        <f t="shared" si="32"/>
        <v>0</v>
      </c>
      <c r="BQ56" s="58"/>
      <c r="BR56" s="49">
        <f t="shared" si="33"/>
        <v>0</v>
      </c>
      <c r="BS56" s="57"/>
      <c r="BT56" s="49"/>
      <c r="BU56" s="57"/>
      <c r="BV56" s="49"/>
      <c r="BW56" s="56"/>
      <c r="BX56" s="49"/>
      <c r="BY56" s="59"/>
      <c r="BZ56" s="49">
        <f t="shared" si="34"/>
        <v>0</v>
      </c>
      <c r="CA56" s="59"/>
      <c r="CB56" s="49">
        <f t="shared" si="35"/>
        <v>0</v>
      </c>
      <c r="CC56" s="60"/>
      <c r="CD56" s="49">
        <f t="shared" si="36"/>
        <v>0</v>
      </c>
      <c r="CE56" s="57">
        <f t="shared" si="37"/>
        <v>10</v>
      </c>
      <c r="CF56" s="49">
        <f t="shared" si="38"/>
        <v>12719.71875</v>
      </c>
      <c r="CG56" s="49"/>
      <c r="CH56" s="49">
        <f t="shared" si="39"/>
        <v>4239.90625</v>
      </c>
      <c r="CI56" s="49"/>
      <c r="CJ56" s="61">
        <f t="shared" si="40"/>
        <v>6206.239583333333</v>
      </c>
      <c r="CK56" s="49">
        <f t="shared" si="23"/>
        <v>48605.302083333336</v>
      </c>
      <c r="CL56" s="106">
        <f t="shared" si="41"/>
        <v>61325.020833333336</v>
      </c>
    </row>
    <row r="57" spans="1:90" s="62" customFormat="1" x14ac:dyDescent="0.25">
      <c r="A57" s="82"/>
      <c r="B57" s="79" t="s">
        <v>144</v>
      </c>
      <c r="C57" s="121" t="s">
        <v>147</v>
      </c>
      <c r="D57" s="118" t="s">
        <v>143</v>
      </c>
      <c r="E57" s="120">
        <v>11</v>
      </c>
      <c r="F57" s="118" t="s">
        <v>93</v>
      </c>
      <c r="G57" s="119">
        <f>4.38*17697</f>
        <v>77512.86</v>
      </c>
      <c r="H57" s="49">
        <f t="shared" si="5"/>
        <v>96891.074999999997</v>
      </c>
      <c r="I57" s="51">
        <v>1</v>
      </c>
      <c r="J57" s="51"/>
      <c r="K57" s="48">
        <v>4</v>
      </c>
      <c r="L57" s="48"/>
      <c r="M57" s="48"/>
      <c r="N57" s="48"/>
      <c r="O57" s="48">
        <v>3</v>
      </c>
      <c r="P57" s="48"/>
      <c r="Q57" s="48">
        <v>3</v>
      </c>
      <c r="R57" s="48"/>
      <c r="S57" s="48"/>
      <c r="T57" s="48"/>
      <c r="U57" s="48">
        <v>3</v>
      </c>
      <c r="V57" s="48"/>
      <c r="W57" s="47">
        <f t="shared" si="50"/>
        <v>9</v>
      </c>
      <c r="X57" s="47">
        <f t="shared" si="50"/>
        <v>0</v>
      </c>
      <c r="Y57" s="48"/>
      <c r="Z57" s="48"/>
      <c r="AA57" s="48">
        <v>3</v>
      </c>
      <c r="AB57" s="48"/>
      <c r="AC57" s="47">
        <f t="shared" si="51"/>
        <v>3</v>
      </c>
      <c r="AD57" s="47">
        <f t="shared" si="51"/>
        <v>0</v>
      </c>
      <c r="AE57" s="49">
        <f t="shared" si="24"/>
        <v>4037.1281249999997</v>
      </c>
      <c r="AF57" s="49">
        <f t="shared" si="8"/>
        <v>21531.35</v>
      </c>
      <c r="AG57" s="49">
        <f t="shared" si="9"/>
        <v>0</v>
      </c>
      <c r="AH57" s="49">
        <f t="shared" si="10"/>
        <v>16148.512499999999</v>
      </c>
      <c r="AI57" s="49">
        <f t="shared" si="11"/>
        <v>16148.512499999999</v>
      </c>
      <c r="AJ57" s="49">
        <f t="shared" si="12"/>
        <v>0</v>
      </c>
      <c r="AK57" s="49">
        <f t="shared" si="13"/>
        <v>16148.512499999999</v>
      </c>
      <c r="AL57" s="49">
        <f t="shared" si="14"/>
        <v>48445.537499999999</v>
      </c>
      <c r="AM57" s="49">
        <f t="shared" si="15"/>
        <v>0</v>
      </c>
      <c r="AN57" s="49">
        <f t="shared" si="16"/>
        <v>16148.512499999999</v>
      </c>
      <c r="AO57" s="49">
        <f t="shared" si="17"/>
        <v>16148.512499999999</v>
      </c>
      <c r="AP57" s="49">
        <f t="shared" si="18"/>
        <v>90162.528124999997</v>
      </c>
      <c r="AQ57" s="57"/>
      <c r="AR57" s="49"/>
      <c r="AS57" s="57"/>
      <c r="AT57" s="49"/>
      <c r="AU57" s="57"/>
      <c r="AV57" s="49"/>
      <c r="AW57" s="57">
        <v>4</v>
      </c>
      <c r="AX57" s="49">
        <f t="shared" si="52"/>
        <v>786.5333333333333</v>
      </c>
      <c r="AY57" s="57"/>
      <c r="AZ57" s="49"/>
      <c r="BA57" s="57">
        <v>9</v>
      </c>
      <c r="BB57" s="49"/>
      <c r="BC57" s="57"/>
      <c r="BD57" s="49"/>
      <c r="BE57" s="57"/>
      <c r="BF57" s="49">
        <f t="shared" si="53"/>
        <v>0</v>
      </c>
      <c r="BG57" s="57"/>
      <c r="BH57" s="49"/>
      <c r="BI57" s="57"/>
      <c r="BJ57" s="49"/>
      <c r="BK57" s="57"/>
      <c r="BL57" s="49"/>
      <c r="BM57" s="57">
        <v>3</v>
      </c>
      <c r="BN57" s="49"/>
      <c r="BO57" s="58">
        <v>0.5</v>
      </c>
      <c r="BP57" s="49">
        <f t="shared" si="32"/>
        <v>5309.1</v>
      </c>
      <c r="BQ57" s="58"/>
      <c r="BR57" s="49"/>
      <c r="BS57" s="57"/>
      <c r="BT57" s="49"/>
      <c r="BU57" s="57"/>
      <c r="BV57" s="49"/>
      <c r="BW57" s="56"/>
      <c r="BX57" s="49"/>
      <c r="BY57" s="59"/>
      <c r="BZ57" s="49"/>
      <c r="CA57" s="59"/>
      <c r="CB57" s="49"/>
      <c r="CC57" s="60"/>
      <c r="CD57" s="49"/>
      <c r="CE57" s="57">
        <f t="shared" si="37"/>
        <v>16</v>
      </c>
      <c r="CF57" s="49">
        <f t="shared" si="38"/>
        <v>25837.62</v>
      </c>
      <c r="CG57" s="49"/>
      <c r="CH57" s="49">
        <f t="shared" si="39"/>
        <v>9016.2528125000008</v>
      </c>
      <c r="CI57" s="49"/>
      <c r="CJ57" s="61">
        <f t="shared" si="40"/>
        <v>15111.886145833334</v>
      </c>
      <c r="CK57" s="49">
        <f t="shared" si="23"/>
        <v>105274.41427083334</v>
      </c>
      <c r="CL57" s="106">
        <f t="shared" si="41"/>
        <v>131112.03427083333</v>
      </c>
    </row>
    <row r="58" spans="1:90" s="62" customFormat="1" x14ac:dyDescent="0.25">
      <c r="A58" s="82"/>
      <c r="B58" s="79" t="s">
        <v>133</v>
      </c>
      <c r="C58" s="79" t="s">
        <v>148</v>
      </c>
      <c r="D58" s="75" t="s">
        <v>116</v>
      </c>
      <c r="E58" s="68">
        <v>2</v>
      </c>
      <c r="F58" s="75" t="s">
        <v>95</v>
      </c>
      <c r="G58" s="80">
        <f>3.41*17697</f>
        <v>60346.770000000004</v>
      </c>
      <c r="H58" s="49">
        <f t="shared" si="5"/>
        <v>75433.462500000009</v>
      </c>
      <c r="I58" s="51"/>
      <c r="J58" s="51"/>
      <c r="K58" s="48">
        <v>4</v>
      </c>
      <c r="L58" s="48">
        <v>2</v>
      </c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7">
        <f t="shared" si="50"/>
        <v>0</v>
      </c>
      <c r="X58" s="47">
        <f t="shared" si="50"/>
        <v>0</v>
      </c>
      <c r="Y58" s="48"/>
      <c r="Z58" s="48"/>
      <c r="AA58" s="48"/>
      <c r="AB58" s="48"/>
      <c r="AC58" s="47">
        <f t="shared" si="51"/>
        <v>0</v>
      </c>
      <c r="AD58" s="47">
        <f t="shared" si="51"/>
        <v>0</v>
      </c>
      <c r="AE58" s="49">
        <f t="shared" si="24"/>
        <v>0</v>
      </c>
      <c r="AF58" s="49">
        <f t="shared" si="8"/>
        <v>25144.487500000003</v>
      </c>
      <c r="AG58" s="49">
        <f t="shared" si="9"/>
        <v>0</v>
      </c>
      <c r="AH58" s="49">
        <f t="shared" si="10"/>
        <v>0</v>
      </c>
      <c r="AI58" s="49">
        <f t="shared" si="11"/>
        <v>0</v>
      </c>
      <c r="AJ58" s="49">
        <f t="shared" si="12"/>
        <v>0</v>
      </c>
      <c r="AK58" s="49">
        <f t="shared" si="13"/>
        <v>0</v>
      </c>
      <c r="AL58" s="49">
        <f t="shared" si="14"/>
        <v>0</v>
      </c>
      <c r="AM58" s="49">
        <f t="shared" si="15"/>
        <v>0</v>
      </c>
      <c r="AN58" s="49">
        <f t="shared" si="16"/>
        <v>0</v>
      </c>
      <c r="AO58" s="49">
        <f t="shared" si="17"/>
        <v>0</v>
      </c>
      <c r="AP58" s="49">
        <f t="shared" si="18"/>
        <v>25144.487500000003</v>
      </c>
      <c r="AQ58" s="57"/>
      <c r="AR58" s="49">
        <f t="shared" si="54"/>
        <v>0</v>
      </c>
      <c r="AS58" s="57"/>
      <c r="AT58" s="49">
        <f t="shared" si="55"/>
        <v>0</v>
      </c>
      <c r="AU58" s="57"/>
      <c r="AV58" s="49">
        <f t="shared" si="56"/>
        <v>0</v>
      </c>
      <c r="AW58" s="57">
        <v>4</v>
      </c>
      <c r="AX58" s="49">
        <f t="shared" si="52"/>
        <v>786.5333333333333</v>
      </c>
      <c r="AY58" s="57"/>
      <c r="AZ58" s="49">
        <f t="shared" si="57"/>
        <v>0</v>
      </c>
      <c r="BA58" s="57"/>
      <c r="BB58" s="49">
        <f t="shared" si="58"/>
        <v>0</v>
      </c>
      <c r="BC58" s="57"/>
      <c r="BD58" s="49">
        <f t="shared" si="59"/>
        <v>0</v>
      </c>
      <c r="BE58" s="57"/>
      <c r="BF58" s="49">
        <f t="shared" si="53"/>
        <v>0</v>
      </c>
      <c r="BG58" s="57"/>
      <c r="BH58" s="49">
        <f t="shared" si="28"/>
        <v>0</v>
      </c>
      <c r="BI58" s="57"/>
      <c r="BJ58" s="49">
        <f t="shared" si="29"/>
        <v>0</v>
      </c>
      <c r="BK58" s="57"/>
      <c r="BL58" s="49">
        <f t="shared" si="30"/>
        <v>0</v>
      </c>
      <c r="BM58" s="57"/>
      <c r="BN58" s="49">
        <f t="shared" si="31"/>
        <v>0</v>
      </c>
      <c r="BO58" s="58"/>
      <c r="BP58" s="49">
        <f t="shared" si="32"/>
        <v>0</v>
      </c>
      <c r="BQ58" s="58"/>
      <c r="BR58" s="49">
        <f t="shared" si="33"/>
        <v>0</v>
      </c>
      <c r="BS58" s="57"/>
      <c r="BT58" s="49"/>
      <c r="BU58" s="57"/>
      <c r="BV58" s="49"/>
      <c r="BW58" s="56"/>
      <c r="BX58" s="49"/>
      <c r="BY58" s="59"/>
      <c r="BZ58" s="49">
        <f t="shared" si="34"/>
        <v>0</v>
      </c>
      <c r="CA58" s="59"/>
      <c r="CB58" s="49">
        <f t="shared" si="35"/>
        <v>0</v>
      </c>
      <c r="CC58" s="60"/>
      <c r="CD58" s="49">
        <f t="shared" si="36"/>
        <v>0</v>
      </c>
      <c r="CE58" s="57">
        <f t="shared" si="37"/>
        <v>6</v>
      </c>
      <c r="CF58" s="49">
        <f t="shared" si="38"/>
        <v>7543.3462500000014</v>
      </c>
      <c r="CG58" s="49"/>
      <c r="CH58" s="49">
        <f t="shared" si="39"/>
        <v>2514.4487500000005</v>
      </c>
      <c r="CI58" s="49"/>
      <c r="CJ58" s="61">
        <f t="shared" si="40"/>
        <v>3300.9820833333338</v>
      </c>
      <c r="CK58" s="49">
        <f t="shared" si="23"/>
        <v>28445.469583333335</v>
      </c>
      <c r="CL58" s="106">
        <f t="shared" si="41"/>
        <v>35988.815833333334</v>
      </c>
    </row>
    <row r="59" spans="1:90" s="62" customFormat="1" x14ac:dyDescent="0.25">
      <c r="A59" s="82"/>
      <c r="B59" s="111" t="s">
        <v>146</v>
      </c>
      <c r="C59" s="115"/>
      <c r="D59" s="91"/>
      <c r="E59" s="110"/>
      <c r="F59" s="91"/>
      <c r="G59" s="78"/>
      <c r="H59" s="49">
        <f t="shared" si="5"/>
        <v>0</v>
      </c>
      <c r="I59" s="51"/>
      <c r="J59" s="51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7">
        <f t="shared" si="50"/>
        <v>0</v>
      </c>
      <c r="X59" s="47">
        <f t="shared" si="50"/>
        <v>0</v>
      </c>
      <c r="Y59" s="48"/>
      <c r="Z59" s="48"/>
      <c r="AA59" s="48"/>
      <c r="AB59" s="48"/>
      <c r="AC59" s="47">
        <f t="shared" si="51"/>
        <v>0</v>
      </c>
      <c r="AD59" s="47">
        <f t="shared" si="51"/>
        <v>0</v>
      </c>
      <c r="AE59" s="49">
        <f t="shared" si="24"/>
        <v>0</v>
      </c>
      <c r="AF59" s="49">
        <f t="shared" si="8"/>
        <v>0</v>
      </c>
      <c r="AG59" s="49">
        <f t="shared" si="9"/>
        <v>0</v>
      </c>
      <c r="AH59" s="49">
        <f t="shared" si="10"/>
        <v>0</v>
      </c>
      <c r="AI59" s="49">
        <f t="shared" si="11"/>
        <v>0</v>
      </c>
      <c r="AJ59" s="49">
        <f t="shared" si="12"/>
        <v>0</v>
      </c>
      <c r="AK59" s="49">
        <f t="shared" si="13"/>
        <v>0</v>
      </c>
      <c r="AL59" s="49">
        <f t="shared" si="14"/>
        <v>0</v>
      </c>
      <c r="AM59" s="49">
        <f t="shared" si="15"/>
        <v>0</v>
      </c>
      <c r="AN59" s="49">
        <f t="shared" si="16"/>
        <v>0</v>
      </c>
      <c r="AO59" s="49">
        <f t="shared" si="17"/>
        <v>0</v>
      </c>
      <c r="AP59" s="49">
        <f t="shared" si="18"/>
        <v>0</v>
      </c>
      <c r="AQ59" s="57"/>
      <c r="AR59" s="49"/>
      <c r="AS59" s="57"/>
      <c r="AT59" s="49"/>
      <c r="AU59" s="57"/>
      <c r="AV59" s="49"/>
      <c r="AW59" s="57"/>
      <c r="AX59" s="49">
        <f t="shared" si="52"/>
        <v>0</v>
      </c>
      <c r="AY59" s="57"/>
      <c r="AZ59" s="49"/>
      <c r="BA59" s="57"/>
      <c r="BB59" s="49"/>
      <c r="BC59" s="57"/>
      <c r="BD59" s="49"/>
      <c r="BE59" s="57"/>
      <c r="BF59" s="49">
        <f t="shared" si="53"/>
        <v>0</v>
      </c>
      <c r="BG59" s="57"/>
      <c r="BH59" s="49"/>
      <c r="BI59" s="57"/>
      <c r="BJ59" s="49"/>
      <c r="BK59" s="57"/>
      <c r="BL59" s="49"/>
      <c r="BM59" s="57"/>
      <c r="BN59" s="49"/>
      <c r="BO59" s="58"/>
      <c r="BP59" s="49">
        <f t="shared" si="32"/>
        <v>0</v>
      </c>
      <c r="BQ59" s="58"/>
      <c r="BR59" s="49"/>
      <c r="BS59" s="57"/>
      <c r="BT59" s="49"/>
      <c r="BU59" s="57"/>
      <c r="BV59" s="49"/>
      <c r="BW59" s="56"/>
      <c r="BX59" s="49"/>
      <c r="BY59" s="59"/>
      <c r="BZ59" s="49"/>
      <c r="CA59" s="59"/>
      <c r="CB59" s="49"/>
      <c r="CC59" s="60"/>
      <c r="CD59" s="49"/>
      <c r="CE59" s="57">
        <f t="shared" si="37"/>
        <v>0</v>
      </c>
      <c r="CF59" s="49">
        <f t="shared" si="38"/>
        <v>0</v>
      </c>
      <c r="CG59" s="49"/>
      <c r="CH59" s="49">
        <f t="shared" si="39"/>
        <v>0</v>
      </c>
      <c r="CI59" s="49"/>
      <c r="CJ59" s="61">
        <f t="shared" si="40"/>
        <v>0</v>
      </c>
      <c r="CK59" s="49">
        <f t="shared" si="23"/>
        <v>0</v>
      </c>
      <c r="CL59" s="106">
        <f t="shared" si="41"/>
        <v>0</v>
      </c>
    </row>
    <row r="60" spans="1:90" s="62" customFormat="1" x14ac:dyDescent="0.25">
      <c r="A60" s="113"/>
      <c r="B60" s="280" t="s">
        <v>110</v>
      </c>
      <c r="C60" s="79" t="s">
        <v>83</v>
      </c>
      <c r="D60" s="75" t="s">
        <v>77</v>
      </c>
      <c r="E60" s="68">
        <v>23.04</v>
      </c>
      <c r="F60" s="75" t="s">
        <v>93</v>
      </c>
      <c r="G60" s="80">
        <f>4.73*17697</f>
        <v>83706.810000000012</v>
      </c>
      <c r="H60" s="49">
        <f t="shared" si="5"/>
        <v>104633.51250000001</v>
      </c>
      <c r="I60" s="51"/>
      <c r="J60" s="51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7">
        <f t="shared" si="50"/>
        <v>0</v>
      </c>
      <c r="X60" s="47">
        <f t="shared" si="50"/>
        <v>0</v>
      </c>
      <c r="Y60" s="50"/>
      <c r="Z60" s="51"/>
      <c r="AA60" s="48">
        <v>6</v>
      </c>
      <c r="AB60" s="48"/>
      <c r="AC60" s="47">
        <f t="shared" si="51"/>
        <v>6</v>
      </c>
      <c r="AD60" s="47">
        <f t="shared" si="51"/>
        <v>0</v>
      </c>
      <c r="AE60" s="49">
        <f t="shared" si="24"/>
        <v>0</v>
      </c>
      <c r="AF60" s="49">
        <f t="shared" si="8"/>
        <v>0</v>
      </c>
      <c r="AG60" s="49">
        <f t="shared" si="9"/>
        <v>0</v>
      </c>
      <c r="AH60" s="49">
        <f t="shared" si="10"/>
        <v>0</v>
      </c>
      <c r="AI60" s="49">
        <f t="shared" si="11"/>
        <v>0</v>
      </c>
      <c r="AJ60" s="49">
        <f t="shared" si="12"/>
        <v>0</v>
      </c>
      <c r="AK60" s="49">
        <f t="shared" si="13"/>
        <v>0</v>
      </c>
      <c r="AL60" s="49">
        <f t="shared" si="14"/>
        <v>0</v>
      </c>
      <c r="AM60" s="49">
        <f t="shared" si="15"/>
        <v>0</v>
      </c>
      <c r="AN60" s="49">
        <f t="shared" si="16"/>
        <v>34877.837500000009</v>
      </c>
      <c r="AO60" s="49">
        <f t="shared" si="17"/>
        <v>34877.837500000009</v>
      </c>
      <c r="AP60" s="49">
        <f t="shared" si="18"/>
        <v>34877.837500000009</v>
      </c>
      <c r="AQ60" s="57"/>
      <c r="AR60" s="49">
        <f t="shared" ref="AR60" si="60">(17697*50/100)/18*AQ60</f>
        <v>0</v>
      </c>
      <c r="AS60" s="57"/>
      <c r="AT60" s="49">
        <f t="shared" ref="AT60" si="61">(17697*25/100)/18*AS60</f>
        <v>0</v>
      </c>
      <c r="AU60" s="57"/>
      <c r="AV60" s="49">
        <f t="shared" ref="AV60" si="62">(17697*40/100)/18*AU60</f>
        <v>0</v>
      </c>
      <c r="AW60" s="57"/>
      <c r="AX60" s="49">
        <f t="shared" si="52"/>
        <v>0</v>
      </c>
      <c r="AY60" s="57"/>
      <c r="AZ60" s="49">
        <f t="shared" ref="AZ60" si="63">(17697*50/100)/18*AY60</f>
        <v>0</v>
      </c>
      <c r="BA60" s="57"/>
      <c r="BB60" s="49">
        <f t="shared" ref="BB60" si="64">(17697*25/100)/18*BA60</f>
        <v>0</v>
      </c>
      <c r="BC60" s="57"/>
      <c r="BD60" s="49">
        <f t="shared" ref="BD60" si="65">(17697*40/100)/18*BC60</f>
        <v>0</v>
      </c>
      <c r="BE60" s="57"/>
      <c r="BF60" s="49">
        <f>(17697*20/100)/18*BE60</f>
        <v>0</v>
      </c>
      <c r="BG60" s="57"/>
      <c r="BH60" s="49">
        <f t="shared" ref="BH60" si="66">(17697*50/100)/18*BG60</f>
        <v>0</v>
      </c>
      <c r="BI60" s="57"/>
      <c r="BJ60" s="49">
        <f t="shared" ref="BJ60" si="67">(17697*25/100)/18*BI60</f>
        <v>0</v>
      </c>
      <c r="BK60" s="57"/>
      <c r="BL60" s="49">
        <f t="shared" ref="BL60" si="68">(17697*40/100)/18*BK60</f>
        <v>0</v>
      </c>
      <c r="BM60" s="57">
        <v>3</v>
      </c>
      <c r="BN60" s="49">
        <f t="shared" ref="BN60" si="69">(17697*20/100)/18*BM60</f>
        <v>589.9</v>
      </c>
      <c r="BO60" s="58"/>
      <c r="BP60" s="49">
        <f t="shared" si="32"/>
        <v>0</v>
      </c>
      <c r="BQ60" s="58"/>
      <c r="BR60" s="49">
        <f t="shared" ref="BR60" si="70">(17697*50/100)*BQ60</f>
        <v>0</v>
      </c>
      <c r="BS60" s="57"/>
      <c r="BT60" s="49"/>
      <c r="BU60" s="57"/>
      <c r="BV60" s="49"/>
      <c r="BW60" s="56"/>
      <c r="BX60" s="49"/>
      <c r="BY60" s="59"/>
      <c r="BZ60" s="49">
        <f t="shared" ref="BZ60" si="71">H60*0.3/18*BY60</f>
        <v>0</v>
      </c>
      <c r="CA60" s="59"/>
      <c r="CB60" s="49">
        <f t="shared" ref="CB60" si="72">H60*0.35/18*CA60</f>
        <v>0</v>
      </c>
      <c r="CC60" s="60"/>
      <c r="CD60" s="49">
        <f t="shared" ref="CD60" si="73">H60*0.4/18*CC60</f>
        <v>0</v>
      </c>
      <c r="CE60" s="57">
        <f t="shared" si="37"/>
        <v>6</v>
      </c>
      <c r="CF60" s="49">
        <f t="shared" si="38"/>
        <v>10463.351250000002</v>
      </c>
      <c r="CG60" s="49"/>
      <c r="CH60" s="49">
        <f t="shared" si="39"/>
        <v>3487.783750000001</v>
      </c>
      <c r="CI60" s="49"/>
      <c r="CJ60" s="61">
        <f t="shared" si="40"/>
        <v>4077.6837500000011</v>
      </c>
      <c r="CK60" s="49">
        <f t="shared" si="23"/>
        <v>38955.521250000013</v>
      </c>
      <c r="CL60" s="106">
        <f t="shared" si="41"/>
        <v>49418.872500000012</v>
      </c>
    </row>
    <row r="61" spans="1:90" s="62" customFormat="1" x14ac:dyDescent="0.25">
      <c r="A61" s="114"/>
      <c r="B61" s="280"/>
      <c r="C61" s="79" t="s">
        <v>88</v>
      </c>
      <c r="D61" s="75" t="s">
        <v>82</v>
      </c>
      <c r="E61" s="68">
        <v>23.04</v>
      </c>
      <c r="F61" s="75" t="s">
        <v>94</v>
      </c>
      <c r="G61" s="80">
        <f>5.16*17697</f>
        <v>91316.52</v>
      </c>
      <c r="H61" s="49">
        <f t="shared" si="5"/>
        <v>114145.65000000001</v>
      </c>
      <c r="I61" s="51"/>
      <c r="J61" s="51"/>
      <c r="K61" s="48"/>
      <c r="L61" s="48"/>
      <c r="M61" s="48"/>
      <c r="N61" s="48"/>
      <c r="O61" s="48"/>
      <c r="P61" s="48"/>
      <c r="Q61" s="48">
        <v>2</v>
      </c>
      <c r="R61" s="48"/>
      <c r="S61" s="48"/>
      <c r="T61" s="48"/>
      <c r="U61" s="48">
        <v>2</v>
      </c>
      <c r="V61" s="48"/>
      <c r="W61" s="47">
        <f t="shared" si="50"/>
        <v>4</v>
      </c>
      <c r="X61" s="47">
        <f t="shared" si="50"/>
        <v>0</v>
      </c>
      <c r="Y61" s="48"/>
      <c r="Z61" s="48"/>
      <c r="AA61" s="48">
        <v>4</v>
      </c>
      <c r="AB61" s="48"/>
      <c r="AC61" s="47">
        <f t="shared" ref="AC61:AD61" si="74">Y61+AA61</f>
        <v>4</v>
      </c>
      <c r="AD61" s="47">
        <f t="shared" si="74"/>
        <v>0</v>
      </c>
      <c r="AE61" s="49">
        <f t="shared" si="24"/>
        <v>0</v>
      </c>
      <c r="AF61" s="49">
        <f t="shared" si="8"/>
        <v>0</v>
      </c>
      <c r="AG61" s="49">
        <f t="shared" si="9"/>
        <v>0</v>
      </c>
      <c r="AH61" s="49">
        <f t="shared" si="10"/>
        <v>0</v>
      </c>
      <c r="AI61" s="49">
        <f t="shared" si="11"/>
        <v>12682.85</v>
      </c>
      <c r="AJ61" s="49">
        <f t="shared" si="12"/>
        <v>0</v>
      </c>
      <c r="AK61" s="49">
        <f t="shared" si="13"/>
        <v>12682.85</v>
      </c>
      <c r="AL61" s="49">
        <f t="shared" si="14"/>
        <v>25365.7</v>
      </c>
      <c r="AM61" s="49">
        <f t="shared" si="15"/>
        <v>0</v>
      </c>
      <c r="AN61" s="49">
        <f t="shared" si="16"/>
        <v>25365.7</v>
      </c>
      <c r="AO61" s="49">
        <f t="shared" si="17"/>
        <v>25365.7</v>
      </c>
      <c r="AP61" s="49">
        <f t="shared" si="18"/>
        <v>50731.4</v>
      </c>
      <c r="AQ61" s="57"/>
      <c r="AR61" s="49">
        <f t="shared" si="54"/>
        <v>0</v>
      </c>
      <c r="AS61" s="57"/>
      <c r="AT61" s="49">
        <f t="shared" si="55"/>
        <v>0</v>
      </c>
      <c r="AU61" s="57"/>
      <c r="AV61" s="49">
        <f t="shared" si="56"/>
        <v>0</v>
      </c>
      <c r="AW61" s="57"/>
      <c r="AX61" s="49">
        <f t="shared" si="52"/>
        <v>0</v>
      </c>
      <c r="AY61" s="57"/>
      <c r="AZ61" s="49">
        <f t="shared" si="57"/>
        <v>0</v>
      </c>
      <c r="BA61" s="57"/>
      <c r="BB61" s="49">
        <f t="shared" si="58"/>
        <v>0</v>
      </c>
      <c r="BC61" s="57"/>
      <c r="BD61" s="49">
        <f t="shared" si="59"/>
        <v>0</v>
      </c>
      <c r="BE61" s="57">
        <v>4</v>
      </c>
      <c r="BF61" s="49">
        <f t="shared" si="53"/>
        <v>786.5333333333333</v>
      </c>
      <c r="BG61" s="57"/>
      <c r="BH61" s="49">
        <f t="shared" si="28"/>
        <v>0</v>
      </c>
      <c r="BI61" s="57"/>
      <c r="BJ61" s="49">
        <f t="shared" si="29"/>
        <v>0</v>
      </c>
      <c r="BK61" s="57"/>
      <c r="BL61" s="49">
        <f t="shared" si="30"/>
        <v>0</v>
      </c>
      <c r="BM61" s="57">
        <v>4</v>
      </c>
      <c r="BN61" s="49">
        <f t="shared" si="31"/>
        <v>786.5333333333333</v>
      </c>
      <c r="BO61" s="58"/>
      <c r="BP61" s="49">
        <f t="shared" si="32"/>
        <v>0</v>
      </c>
      <c r="BQ61" s="58"/>
      <c r="BR61" s="49">
        <f t="shared" si="33"/>
        <v>0</v>
      </c>
      <c r="BS61" s="57"/>
      <c r="BT61" s="49">
        <f t="shared" si="42"/>
        <v>0</v>
      </c>
      <c r="BU61" s="57"/>
      <c r="BV61" s="49">
        <f t="shared" si="43"/>
        <v>0</v>
      </c>
      <c r="BW61" s="56"/>
      <c r="BX61" s="49">
        <f t="shared" si="44"/>
        <v>0</v>
      </c>
      <c r="BY61" s="59"/>
      <c r="BZ61" s="49">
        <f t="shared" si="34"/>
        <v>0</v>
      </c>
      <c r="CA61" s="59"/>
      <c r="CB61" s="49">
        <f t="shared" si="35"/>
        <v>0</v>
      </c>
      <c r="CC61" s="60"/>
      <c r="CD61" s="49">
        <f t="shared" si="36"/>
        <v>0</v>
      </c>
      <c r="CE61" s="57">
        <f t="shared" si="37"/>
        <v>8</v>
      </c>
      <c r="CF61" s="49">
        <f t="shared" si="38"/>
        <v>15219.42</v>
      </c>
      <c r="CG61" s="49"/>
      <c r="CH61" s="49">
        <f t="shared" si="39"/>
        <v>5073.1400000000003</v>
      </c>
      <c r="CI61" s="49"/>
      <c r="CJ61" s="61">
        <f t="shared" si="40"/>
        <v>6646.2066666666669</v>
      </c>
      <c r="CK61" s="49">
        <f t="shared" si="23"/>
        <v>57377.606666666667</v>
      </c>
      <c r="CL61" s="106">
        <f t="shared" si="41"/>
        <v>72597.026666666672</v>
      </c>
    </row>
    <row r="62" spans="1:90" x14ac:dyDescent="0.25">
      <c r="F62" s="91"/>
    </row>
    <row r="63" spans="1:90" ht="15.75" x14ac:dyDescent="0.25">
      <c r="B63" s="261" t="s">
        <v>138</v>
      </c>
      <c r="C63" s="261"/>
      <c r="D63" s="261"/>
      <c r="E63" s="261"/>
      <c r="F63" s="261"/>
      <c r="G63" s="261"/>
    </row>
    <row r="65" spans="1:90" s="62" customFormat="1" ht="27.75" customHeight="1" x14ac:dyDescent="0.25">
      <c r="A65" s="82"/>
      <c r="B65" s="79" t="s">
        <v>130</v>
      </c>
      <c r="C65" s="79" t="s">
        <v>131</v>
      </c>
      <c r="D65" s="75" t="s">
        <v>77</v>
      </c>
      <c r="E65" s="144">
        <v>3.04</v>
      </c>
      <c r="F65" s="143" t="s">
        <v>94</v>
      </c>
      <c r="G65" s="145">
        <f>4.59*17697</f>
        <v>81229.23</v>
      </c>
      <c r="H65" s="131">
        <f t="shared" ref="H65" si="75">G65*1.25</f>
        <v>101536.53749999999</v>
      </c>
      <c r="I65" s="69"/>
      <c r="J65" s="69"/>
      <c r="K65" s="69">
        <v>2</v>
      </c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109">
        <f t="shared" ref="W65:X65" si="76">M65+O65+Q65+S65+U65</f>
        <v>0</v>
      </c>
      <c r="X65" s="109">
        <f t="shared" si="76"/>
        <v>0</v>
      </c>
      <c r="Y65" s="69"/>
      <c r="Z65" s="69"/>
      <c r="AA65" s="69"/>
      <c r="AB65" s="69"/>
      <c r="AC65" s="109">
        <f t="shared" ref="AC65:AD65" si="77">Y65+AA65</f>
        <v>0</v>
      </c>
      <c r="AD65" s="109">
        <f t="shared" si="77"/>
        <v>0</v>
      </c>
      <c r="AE65" s="81">
        <f t="shared" ref="AE65" si="78">H65/24*I65</f>
        <v>0</v>
      </c>
      <c r="AF65" s="81">
        <f t="shared" ref="AF65" si="79">H65/18*(K65+L65)</f>
        <v>11281.8375</v>
      </c>
      <c r="AG65" s="81">
        <f t="shared" ref="AG65" si="80">H65/18*(M65+N65)</f>
        <v>0</v>
      </c>
      <c r="AH65" s="81">
        <f t="shared" ref="AH65" si="81">H65/18*(O65+P65)</f>
        <v>0</v>
      </c>
      <c r="AI65" s="81">
        <f t="shared" ref="AI65" si="82">H65/18*(Q65+R65)</f>
        <v>0</v>
      </c>
      <c r="AJ65" s="81">
        <f t="shared" ref="AJ65" si="83">H65/18*(S65+T65)</f>
        <v>0</v>
      </c>
      <c r="AK65" s="81">
        <f t="shared" ref="AK65" si="84">H65/18*(U65+V65)</f>
        <v>0</v>
      </c>
      <c r="AL65" s="81">
        <f t="shared" ref="AL65" si="85">SUM(AG65:AK65)</f>
        <v>0</v>
      </c>
      <c r="AM65" s="81">
        <f t="shared" ref="AM65" si="86">H65/18*(Y65+Z65)</f>
        <v>0</v>
      </c>
      <c r="AN65" s="81">
        <f t="shared" ref="AN65" si="87">H65/18*(AA65+AB65)</f>
        <v>0</v>
      </c>
      <c r="AO65" s="81">
        <f t="shared" ref="AO65" si="88">AM65+AN65</f>
        <v>0</v>
      </c>
      <c r="AP65" s="81">
        <f t="shared" ref="AP65" si="89">AE65+AF65+AL65+AO65</f>
        <v>11281.8375</v>
      </c>
      <c r="AQ65" s="69"/>
      <c r="AR65" s="81">
        <f t="shared" ref="AR65" si="90">(17697*50/100)/18*AQ65</f>
        <v>0</v>
      </c>
      <c r="AS65" s="69"/>
      <c r="AT65" s="81">
        <f t="shared" ref="AT65" si="91">(17697*25/100)/18*AS65</f>
        <v>0</v>
      </c>
      <c r="AU65" s="69"/>
      <c r="AV65" s="81">
        <f t="shared" ref="AV65" si="92">(17697*40/100)/18*AU65</f>
        <v>0</v>
      </c>
      <c r="AW65" s="69"/>
      <c r="AX65" s="81">
        <f t="shared" ref="AX65" si="93">(17697*20/100)/18*AW65</f>
        <v>0</v>
      </c>
      <c r="AY65" s="69"/>
      <c r="AZ65" s="81">
        <f t="shared" ref="AZ65" si="94">(17697*50/100)/18*AY65</f>
        <v>0</v>
      </c>
      <c r="BA65" s="69"/>
      <c r="BB65" s="81">
        <f t="shared" ref="BB65" si="95">(17697*25/100)/18*BA65</f>
        <v>0</v>
      </c>
      <c r="BC65" s="69"/>
      <c r="BD65" s="81">
        <f t="shared" ref="BD65" si="96">(17697*40/100)/18*BC65</f>
        <v>0</v>
      </c>
      <c r="BE65" s="69"/>
      <c r="BF65" s="81">
        <f t="shared" ref="BF65" si="97">(17697*20/100)/18*BE65</f>
        <v>0</v>
      </c>
      <c r="BG65" s="69"/>
      <c r="BH65" s="81">
        <f t="shared" ref="BH65" si="98">(17697*50/100)/18*BG65</f>
        <v>0</v>
      </c>
      <c r="BI65" s="69"/>
      <c r="BJ65" s="81">
        <f t="shared" ref="BJ65" si="99">(17697*25/100)/18*BI65</f>
        <v>0</v>
      </c>
      <c r="BK65" s="69"/>
      <c r="BL65" s="81">
        <f t="shared" ref="BL65" si="100">(17697*40/100)/18*BK65</f>
        <v>0</v>
      </c>
      <c r="BM65" s="69"/>
      <c r="BN65" s="81">
        <f t="shared" ref="BN65" si="101">(17697*20/100)/18*BM65</f>
        <v>0</v>
      </c>
      <c r="BO65" s="108"/>
      <c r="BP65" s="81">
        <f t="shared" ref="BP65" si="102">(17697*60/100)*BO65</f>
        <v>0</v>
      </c>
      <c r="BQ65" s="58"/>
      <c r="BR65" s="49">
        <f t="shared" ref="BR65" si="103">(17697*50/100)*BQ65</f>
        <v>0</v>
      </c>
      <c r="BS65" s="57"/>
      <c r="BT65" s="49"/>
      <c r="BU65" s="57"/>
      <c r="BV65" s="49"/>
      <c r="BW65" s="56"/>
      <c r="BX65" s="49"/>
      <c r="BY65" s="59"/>
      <c r="BZ65" s="49">
        <f t="shared" ref="BZ65" si="104">H65*0.3/18*BY65</f>
        <v>0</v>
      </c>
      <c r="CA65" s="59"/>
      <c r="CB65" s="49">
        <f t="shared" ref="CB65" si="105">H65*0.35/18*CA65</f>
        <v>0</v>
      </c>
      <c r="CC65" s="60"/>
      <c r="CD65" s="49">
        <f t="shared" ref="CD65" si="106">H65*0.4/18*CC65</f>
        <v>0</v>
      </c>
      <c r="CE65" s="83">
        <v>0</v>
      </c>
      <c r="CF65" s="49">
        <f t="shared" ref="CF65" si="107">H65*0.3/18*CE65</f>
        <v>0</v>
      </c>
      <c r="CG65" s="49"/>
      <c r="CH65" s="49">
        <v>0</v>
      </c>
      <c r="CI65" s="49"/>
      <c r="CJ65" s="61">
        <f t="shared" ref="CJ65" si="108">AR65+AT65+AV65+AX65+AZ65+BB65+BD65+BF65+BH65+BJ65+BL65+BN65+BP65+BR65+BT65+BV65+BX65+CG65+CH65+CI65</f>
        <v>0</v>
      </c>
      <c r="CK65" s="49">
        <f t="shared" ref="CK65" si="109">AP65+CJ65</f>
        <v>11281.8375</v>
      </c>
      <c r="CL65" s="106">
        <f t="shared" ref="CL65" si="110">CK65++CF65+CD65+CB65+BZ65</f>
        <v>11281.8375</v>
      </c>
    </row>
    <row r="68" spans="1:90" x14ac:dyDescent="0.25">
      <c r="B68" t="s">
        <v>150</v>
      </c>
      <c r="F68" s="53" t="s">
        <v>102</v>
      </c>
    </row>
    <row r="70" spans="1:90" x14ac:dyDescent="0.25">
      <c r="B70" t="s">
        <v>120</v>
      </c>
      <c r="F70" t="s">
        <v>121</v>
      </c>
    </row>
  </sheetData>
  <mergeCells count="63">
    <mergeCell ref="A20:A22"/>
    <mergeCell ref="B20:B22"/>
    <mergeCell ref="C20:C22"/>
    <mergeCell ref="D20:D22"/>
    <mergeCell ref="E20:E22"/>
    <mergeCell ref="AG21:AG22"/>
    <mergeCell ref="AH21:AH22"/>
    <mergeCell ref="AI21:AI22"/>
    <mergeCell ref="AJ21:AJ22"/>
    <mergeCell ref="C9:K9"/>
    <mergeCell ref="F20:F22"/>
    <mergeCell ref="G20:G22"/>
    <mergeCell ref="H20:H22"/>
    <mergeCell ref="I20:AD20"/>
    <mergeCell ref="J21:J22"/>
    <mergeCell ref="CJ20:CJ22"/>
    <mergeCell ref="CK20:CK22"/>
    <mergeCell ref="CL20:CL22"/>
    <mergeCell ref="I21:I22"/>
    <mergeCell ref="K21:L21"/>
    <mergeCell ref="M21:N21"/>
    <mergeCell ref="O21:P21"/>
    <mergeCell ref="Q21:R21"/>
    <mergeCell ref="S21:T21"/>
    <mergeCell ref="U21:V21"/>
    <mergeCell ref="AE20:AO20"/>
    <mergeCell ref="AP20:AP22"/>
    <mergeCell ref="AQ20:BN20"/>
    <mergeCell ref="BO20:BR20"/>
    <mergeCell ref="BS20:BV20"/>
    <mergeCell ref="BW20:CI20"/>
    <mergeCell ref="CH21:CH22"/>
    <mergeCell ref="CI21:CI22"/>
    <mergeCell ref="A24:B24"/>
    <mergeCell ref="BS21:BS22"/>
    <mergeCell ref="BT21:BT22"/>
    <mergeCell ref="BU21:BU22"/>
    <mergeCell ref="BV21:BV22"/>
    <mergeCell ref="BW21:BX21"/>
    <mergeCell ref="BY21:BZ21"/>
    <mergeCell ref="AY21:BF21"/>
    <mergeCell ref="BG21:BN21"/>
    <mergeCell ref="BO21:BO22"/>
    <mergeCell ref="BP21:BP22"/>
    <mergeCell ref="BQ21:BQ22"/>
    <mergeCell ref="BR21:BR22"/>
    <mergeCell ref="AK21:AK22"/>
    <mergeCell ref="B60:B61"/>
    <mergeCell ref="B63:G63"/>
    <mergeCell ref="CA21:CB21"/>
    <mergeCell ref="CC21:CD21"/>
    <mergeCell ref="CE21:CF21"/>
    <mergeCell ref="AL21:AL22"/>
    <mergeCell ref="AM21:AM22"/>
    <mergeCell ref="AN21:AN22"/>
    <mergeCell ref="AO21:AO22"/>
    <mergeCell ref="AQ21:AX21"/>
    <mergeCell ref="W21:X21"/>
    <mergeCell ref="Y21:Z21"/>
    <mergeCell ref="AA21:AB21"/>
    <mergeCell ref="AC21:AD21"/>
    <mergeCell ref="AE21:AE22"/>
    <mergeCell ref="AF21:AF22"/>
  </mergeCells>
  <pageMargins left="0.23622047244094491" right="0.23622047244094491" top="0.74803149606299213" bottom="0.74803149606299213" header="0.31496062992125984" footer="0.31496062992125984"/>
  <pageSetup paperSize="9" scale="59" orientation="landscape" r:id="rId1"/>
  <rowBreaks count="1" manualBreakCount="1">
    <brk id="45" max="90" man="1"/>
  </rowBreaks>
  <colBreaks count="3" manualBreakCount="3">
    <brk id="30" max="1048575" man="1"/>
    <brk id="60" max="71" man="1"/>
    <brk id="91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2020</vt:lpstr>
      <vt:lpstr>разница</vt:lpstr>
      <vt:lpstr>разница!Область_печати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2021-03-09T12:26:29Z</dcterms:modified>
</cp:coreProperties>
</file>